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4470" tabRatio="601" activeTab="0"/>
  </bookViews>
  <sheets>
    <sheet name="FY07_09 Summary" sheetId="1" r:id="rId1"/>
    <sheet name=" FY07_09 Detailed  Budget " sheetId="2" r:id="rId2"/>
    <sheet name="Work Product Description" sheetId="3" r:id="rId3"/>
    <sheet name="FY06 Budget" sheetId="4" r:id="rId4"/>
    <sheet name="Schedule FY07" sheetId="5" r:id="rId5"/>
    <sheet name="Billings FY 07" sheetId="6" r:id="rId6"/>
  </sheets>
  <definedNames>
    <definedName name="_xlnm.Print_Titles" localSheetId="1">' FY07_09 Detailed  Budget '!$A:$A</definedName>
    <definedName name="_xlnm.Print_Titles" localSheetId="2">'Work Product Description'!$1:$3</definedName>
    <definedName name="solver_adj" localSheetId="1" hidden="1">' FY07_09 Detailed  Budget '!$C$47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 FY07_09 Detailed  Budget '!$AD$72</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definedName>
  </definedNames>
  <calcPr fullCalcOnLoad="1"/>
</workbook>
</file>

<file path=xl/comments2.xml><?xml version="1.0" encoding="utf-8"?>
<comments xmlns="http://schemas.openxmlformats.org/spreadsheetml/2006/main">
  <authors>
    <author>David Marmorek</author>
    <author>Ian Parnell</author>
  </authors>
  <commentList>
    <comment ref="C42" authorId="0">
      <text>
        <r>
          <rPr>
            <b/>
            <sz val="8"/>
            <rFont val="Tahoma"/>
            <family val="0"/>
          </rPr>
          <t>David Marmorek:</t>
        </r>
        <r>
          <rPr>
            <sz val="8"/>
            <rFont val="Tahoma"/>
            <family val="0"/>
          </rPr>
          <t xml:space="preserve">
ESSA acting to 'coach' CSMEP staff in identifying these opportunities</t>
        </r>
      </text>
    </comment>
    <comment ref="W26" authorId="0">
      <text>
        <r>
          <rPr>
            <b/>
            <sz val="8"/>
            <rFont val="Tahoma"/>
            <family val="0"/>
          </rPr>
          <t>David Marmorek:</t>
        </r>
        <r>
          <rPr>
            <sz val="8"/>
            <rFont val="Tahoma"/>
            <family val="0"/>
          </rPr>
          <t xml:space="preserve">
Assist states in getting access to bull trout information</t>
        </r>
      </text>
    </comment>
    <comment ref="X26" authorId="0">
      <text>
        <r>
          <rPr>
            <b/>
            <sz val="8"/>
            <rFont val="Tahoma"/>
            <family val="0"/>
          </rPr>
          <t>David Marmorek:</t>
        </r>
        <r>
          <rPr>
            <sz val="8"/>
            <rFont val="Tahoma"/>
            <family val="0"/>
          </rPr>
          <t xml:space="preserve">
Assist states in getting access to mainstem information</t>
        </r>
      </text>
    </comment>
    <comment ref="A10" authorId="1">
      <text>
        <r>
          <rPr>
            <b/>
            <sz val="8"/>
            <rFont val="Tahoma"/>
            <family val="0"/>
          </rPr>
          <t>Ian Parnell:</t>
        </r>
        <r>
          <rPr>
            <sz val="8"/>
            <rFont val="Tahoma"/>
            <family val="0"/>
          </rPr>
          <t xml:space="preserve">
Constant multiplier across tasks, works of days entered in column the multiplier is entered in.</t>
        </r>
      </text>
    </comment>
    <comment ref="L56" authorId="0">
      <text>
        <r>
          <rPr>
            <b/>
            <sz val="8"/>
            <rFont val="Tahoma"/>
            <family val="0"/>
          </rPr>
          <t>David Marmorek:</t>
        </r>
        <r>
          <rPr>
            <sz val="8"/>
            <rFont val="Tahoma"/>
            <family val="0"/>
          </rPr>
          <t xml:space="preserve">
Acting in review capacity</t>
        </r>
      </text>
    </comment>
    <comment ref="J39" authorId="0">
      <text>
        <r>
          <rPr>
            <b/>
            <sz val="8"/>
            <rFont val="Tahoma"/>
            <family val="0"/>
          </rPr>
          <t>David Marmorek:</t>
        </r>
        <r>
          <rPr>
            <sz val="8"/>
            <rFont val="Tahoma"/>
            <family val="0"/>
          </rPr>
          <t xml:space="preserve">
Will be handled by Nez Perce</t>
        </r>
      </text>
    </comment>
    <comment ref="J40" authorId="0">
      <text>
        <r>
          <rPr>
            <b/>
            <sz val="8"/>
            <rFont val="Tahoma"/>
            <family val="0"/>
          </rPr>
          <t>David Marmorek:</t>
        </r>
        <r>
          <rPr>
            <sz val="8"/>
            <rFont val="Tahoma"/>
            <family val="0"/>
          </rPr>
          <t xml:space="preserve">
This involves getting Warm Springs data</t>
        </r>
      </text>
    </comment>
    <comment ref="A49" authorId="0">
      <text>
        <r>
          <rPr>
            <b/>
            <sz val="8"/>
            <rFont val="Tahoma"/>
            <family val="0"/>
          </rPr>
          <t>David Marmorek:</t>
        </r>
        <r>
          <rPr>
            <sz val="8"/>
            <rFont val="Tahoma"/>
            <family val="0"/>
          </rPr>
          <t xml:space="preserve">
Generalizing results of DQO process into newsletters, etc.</t>
        </r>
      </text>
    </comment>
    <comment ref="L32" authorId="0">
      <text>
        <r>
          <rPr>
            <b/>
            <sz val="8"/>
            <rFont val="Tahoma"/>
            <family val="0"/>
          </rPr>
          <t>David Marmorek:</t>
        </r>
        <r>
          <rPr>
            <sz val="8"/>
            <rFont val="Tahoma"/>
            <family val="0"/>
          </rPr>
          <t xml:space="preserve">
Link in Yakima data</t>
        </r>
      </text>
    </comment>
    <comment ref="M5" authorId="0">
      <text>
        <r>
          <rPr>
            <b/>
            <sz val="8"/>
            <rFont val="Tahoma"/>
            <family val="0"/>
          </rPr>
          <t>David Marmorek:</t>
        </r>
        <r>
          <rPr>
            <sz val="8"/>
            <rFont val="Tahoma"/>
            <family val="0"/>
          </rPr>
          <t xml:space="preserve">
Need a firm commitment of Chris + Jay's time for this to work</t>
        </r>
      </text>
    </comment>
    <comment ref="P3" authorId="0">
      <text>
        <r>
          <rPr>
            <b/>
            <sz val="8"/>
            <rFont val="Tahoma"/>
            <family val="0"/>
          </rPr>
          <t>David Marmorek:</t>
        </r>
        <r>
          <rPr>
            <sz val="8"/>
            <rFont val="Tahoma"/>
            <family val="0"/>
          </rPr>
          <t xml:space="preserve">
To cover costs not paid for by BPA</t>
        </r>
      </text>
    </comment>
    <comment ref="J26" authorId="0">
      <text>
        <r>
          <rPr>
            <b/>
            <sz val="8"/>
            <rFont val="Tahoma"/>
            <family val="0"/>
          </rPr>
          <t>David Marmorek:</t>
        </r>
        <r>
          <rPr>
            <sz val="8"/>
            <rFont val="Tahoma"/>
            <family val="0"/>
          </rPr>
          <t xml:space="preserve">
Jeff Fryer working together with Kim Hyatt on this</t>
        </r>
      </text>
    </comment>
    <comment ref="I26" authorId="0">
      <text>
        <r>
          <rPr>
            <b/>
            <sz val="8"/>
            <rFont val="Tahoma"/>
            <family val="0"/>
          </rPr>
          <t>David Marmorek:</t>
        </r>
        <r>
          <rPr>
            <sz val="8"/>
            <rFont val="Tahoma"/>
            <family val="0"/>
          </rPr>
          <t xml:space="preserve">
Need to know SK guy from WDFW</t>
        </r>
      </text>
    </comment>
    <comment ref="N5" authorId="0">
      <text>
        <r>
          <rPr>
            <b/>
            <sz val="8"/>
            <rFont val="Tahoma"/>
            <family val="0"/>
          </rPr>
          <t>David Marmorek:</t>
        </r>
        <r>
          <rPr>
            <sz val="8"/>
            <rFont val="Tahoma"/>
            <family val="0"/>
          </rPr>
          <t xml:space="preserve">
Keith's role here is to become thoroughly familiar w CSMEP products so as to market them well through PNAMP</t>
        </r>
      </text>
    </comment>
    <comment ref="R47" authorId="0">
      <text>
        <r>
          <rPr>
            <b/>
            <sz val="8"/>
            <rFont val="Tahoma"/>
            <family val="0"/>
          </rPr>
          <t>David Marmorek:</t>
        </r>
        <r>
          <rPr>
            <sz val="8"/>
            <rFont val="Tahoma"/>
            <family val="0"/>
          </rPr>
          <t xml:space="preserve">
Robert to work on bull trout component of design</t>
        </r>
      </text>
    </comment>
    <comment ref="R49" authorId="0">
      <text>
        <r>
          <rPr>
            <b/>
            <sz val="8"/>
            <rFont val="Tahoma"/>
            <family val="0"/>
          </rPr>
          <t>David Marmorek:</t>
        </r>
        <r>
          <rPr>
            <sz val="8"/>
            <rFont val="Tahoma"/>
            <family val="0"/>
          </rPr>
          <t xml:space="preserve">
Nick to provide summary of  question clarification approach</t>
        </r>
      </text>
    </comment>
    <comment ref="R62" authorId="0">
      <text>
        <r>
          <rPr>
            <b/>
            <sz val="8"/>
            <rFont val="Tahoma"/>
            <family val="0"/>
          </rPr>
          <t>David Marmorek:</t>
        </r>
        <r>
          <rPr>
            <sz val="8"/>
            <rFont val="Tahoma"/>
            <family val="0"/>
          </rPr>
          <t xml:space="preserve">
Nick / Robert to bring in lessons from John Day project</t>
        </r>
      </text>
    </comment>
    <comment ref="R6" authorId="0">
      <text>
        <r>
          <rPr>
            <b/>
            <sz val="8"/>
            <rFont val="Tahoma"/>
            <family val="0"/>
          </rPr>
          <t>David Marmorek:</t>
        </r>
        <r>
          <rPr>
            <sz val="8"/>
            <rFont val="Tahoma"/>
            <family val="0"/>
          </rPr>
          <t xml:space="preserve">
Blended rate for Robert and Nick</t>
        </r>
      </text>
    </comment>
    <comment ref="T5" authorId="0">
      <text>
        <r>
          <rPr>
            <b/>
            <sz val="8"/>
            <rFont val="Tahoma"/>
            <family val="0"/>
          </rPr>
          <t>David Marmorek:</t>
        </r>
        <r>
          <rPr>
            <sz val="8"/>
            <rFont val="Tahoma"/>
            <family val="0"/>
          </rPr>
          <t xml:space="preserve">
This is </t>
        </r>
        <r>
          <rPr>
            <b/>
            <sz val="8"/>
            <rFont val="Tahoma"/>
            <family val="2"/>
          </rPr>
          <t>unofficial</t>
        </r>
        <r>
          <rPr>
            <sz val="8"/>
            <rFont val="Tahoma"/>
            <family val="2"/>
          </rPr>
          <t xml:space="preserve"> cost shsring, not to be listed in proposal as cost share</t>
        </r>
      </text>
    </comment>
    <comment ref="K56" authorId="0">
      <text>
        <r>
          <rPr>
            <b/>
            <sz val="8"/>
            <rFont val="Tahoma"/>
            <family val="0"/>
          </rPr>
          <t>David Marmorek:</t>
        </r>
        <r>
          <rPr>
            <sz val="8"/>
            <rFont val="Tahoma"/>
            <family val="0"/>
          </rPr>
          <t xml:space="preserve">
Acting in review capacity</t>
        </r>
      </text>
    </comment>
    <comment ref="K40" authorId="0">
      <text>
        <r>
          <rPr>
            <b/>
            <sz val="8"/>
            <rFont val="Tahoma"/>
            <family val="0"/>
          </rPr>
          <t>David Marmorek:</t>
        </r>
        <r>
          <rPr>
            <sz val="8"/>
            <rFont val="Tahoma"/>
            <family val="0"/>
          </rPr>
          <t xml:space="preserve">
Provide Umatilla data for OR pilot</t>
        </r>
      </text>
    </comment>
    <comment ref="J51" authorId="0">
      <text>
        <r>
          <rPr>
            <b/>
            <sz val="8"/>
            <rFont val="Tahoma"/>
            <family val="0"/>
          </rPr>
          <t>David Marmorek:</t>
        </r>
        <r>
          <rPr>
            <sz val="8"/>
            <rFont val="Tahoma"/>
            <family val="0"/>
          </rPr>
          <t xml:space="preserve">
Consult w harvest mgrs and tribes</t>
        </r>
      </text>
    </comment>
  </commentList>
</comments>
</file>

<file path=xl/comments4.xml><?xml version="1.0" encoding="utf-8"?>
<comments xmlns="http://schemas.openxmlformats.org/spreadsheetml/2006/main">
  <authors>
    <author>Ian Parnell</author>
    <author>David Marmorek</author>
  </authors>
  <commentList>
    <comment ref="A10" authorId="0">
      <text>
        <r>
          <rPr>
            <b/>
            <sz val="8"/>
            <rFont val="Tahoma"/>
            <family val="0"/>
          </rPr>
          <t>Ian Parnell:</t>
        </r>
        <r>
          <rPr>
            <sz val="8"/>
            <rFont val="Tahoma"/>
            <family val="0"/>
          </rPr>
          <t xml:space="preserve">
Constant multiplier across tasks, works of days entered in column the multiplier is entered in.</t>
        </r>
      </text>
    </comment>
    <comment ref="D25" authorId="1">
      <text>
        <r>
          <rPr>
            <sz val="8"/>
            <rFont val="Tahoma"/>
            <family val="0"/>
          </rPr>
          <t>maps of existing habitat sampling sites as part of design work. Other tier 1 review work.</t>
        </r>
      </text>
    </comment>
    <comment ref="S26" authorId="1">
      <text>
        <r>
          <rPr>
            <b/>
            <sz val="8"/>
            <rFont val="Tahoma"/>
            <family val="0"/>
          </rPr>
          <t>David Marmorek:</t>
        </r>
        <r>
          <rPr>
            <sz val="8"/>
            <rFont val="Tahoma"/>
            <family val="0"/>
          </rPr>
          <t xml:space="preserve">
Assist states in getting access to bull trout information</t>
        </r>
      </text>
    </comment>
    <comment ref="T26" authorId="1">
      <text>
        <r>
          <rPr>
            <b/>
            <sz val="8"/>
            <rFont val="Tahoma"/>
            <family val="0"/>
          </rPr>
          <t>David Marmorek:</t>
        </r>
        <r>
          <rPr>
            <sz val="8"/>
            <rFont val="Tahoma"/>
            <family val="0"/>
          </rPr>
          <t xml:space="preserve">
Assist states in getting access to mainstem information</t>
        </r>
      </text>
    </comment>
    <comment ref="C42" authorId="1">
      <text>
        <r>
          <rPr>
            <b/>
            <sz val="8"/>
            <rFont val="Tahoma"/>
            <family val="0"/>
          </rPr>
          <t>David Marmorek:</t>
        </r>
        <r>
          <rPr>
            <sz val="8"/>
            <rFont val="Tahoma"/>
            <family val="0"/>
          </rPr>
          <t xml:space="preserve">
ESSA acting to 'coach' CSMEP staff in identifying these opportunities</t>
        </r>
      </text>
    </comment>
  </commentList>
</comments>
</file>

<file path=xl/sharedStrings.xml><?xml version="1.0" encoding="utf-8"?>
<sst xmlns="http://schemas.openxmlformats.org/spreadsheetml/2006/main" count="565" uniqueCount="342">
  <si>
    <t>Disbursements</t>
  </si>
  <si>
    <t>Subtotal</t>
  </si>
  <si>
    <t>Total Contract</t>
  </si>
  <si>
    <t>5.4  Improve mainstem Tier 3 monitoring framework [6]</t>
  </si>
  <si>
    <t>5.5  Get feedback from CRB entities on various M&amp;E designs</t>
  </si>
  <si>
    <t>6.1 Develop broad conceptual plan for M&amp;E implementation across CRB</t>
  </si>
  <si>
    <t>Total days for Objective 6</t>
  </si>
  <si>
    <t>7.1 Collaborative review of federal RME projects and WA SRB Effectiveness Monitoring Projects, and other recent pilot projects</t>
  </si>
  <si>
    <t xml:space="preserve">5.1  Continue to develop Tier 1 &amp; 2 sampling and response design options </t>
  </si>
  <si>
    <t>Total Cost Share Days</t>
  </si>
  <si>
    <t>Total days for Objective 7</t>
  </si>
  <si>
    <t>Total for</t>
  </si>
  <si>
    <t>fy05 &amp; fy06</t>
  </si>
  <si>
    <t xml:space="preserve">Totals for Project </t>
  </si>
  <si>
    <t>CSMEP</t>
  </si>
  <si>
    <t xml:space="preserve">1.4 CSMEP conference calls and meetings </t>
  </si>
  <si>
    <t>ESSA mostly acting in review capacity</t>
  </si>
  <si>
    <t xml:space="preserve">     Workshop Expenses &amp; Subcontracts for Specialists</t>
  </si>
  <si>
    <t xml:space="preserve">      Report Production, Printing, Photocopying</t>
  </si>
  <si>
    <t>Porter</t>
  </si>
  <si>
    <t>Eric Tinus, K. Kostow</t>
  </si>
  <si>
    <t>Annette Hoffman; Dick O'Connor</t>
  </si>
  <si>
    <t>D. Fast; Bill Bosch</t>
  </si>
  <si>
    <t>2.2 Complete data inventory for second and third set of subbasins</t>
  </si>
  <si>
    <t>K. Wegner; M. Grosbeck; E. Brown</t>
  </si>
  <si>
    <t>Disb + Contract Admin</t>
  </si>
  <si>
    <t>Disbursements calculated with IDFG Overhead @ 0.218</t>
  </si>
  <si>
    <t>% of total budget</t>
  </si>
  <si>
    <t>Total Costs</t>
  </si>
  <si>
    <t>% of Budget</t>
  </si>
  <si>
    <t>MDFW</t>
  </si>
  <si>
    <t>Yakima</t>
  </si>
  <si>
    <t>CBFWA Travel</t>
  </si>
  <si>
    <t>Rob Lothrop</t>
  </si>
  <si>
    <t>CBFWA Cost Share</t>
  </si>
  <si>
    <t>USFWS Cost Share</t>
  </si>
  <si>
    <t>FPC Cost Share</t>
  </si>
  <si>
    <t>StreamNet Cost Share</t>
  </si>
  <si>
    <t>NMFS Cost Share</t>
  </si>
  <si>
    <t xml:space="preserve"> </t>
  </si>
  <si>
    <t>Eco Logical Research</t>
  </si>
  <si>
    <t xml:space="preserve">Bruce Schmidt </t>
  </si>
  <si>
    <t>John Palensky</t>
  </si>
  <si>
    <t>Frank Young</t>
  </si>
  <si>
    <t>Howard Schaller</t>
  </si>
  <si>
    <t>Michele DeHart</t>
  </si>
  <si>
    <t>Jerry Marco</t>
  </si>
  <si>
    <t>Dave Fast</t>
  </si>
  <si>
    <t>Larry Peterman; Chris Hunter</t>
  </si>
  <si>
    <t>Dave Stadtler</t>
  </si>
  <si>
    <t>Sam Sharr</t>
  </si>
  <si>
    <t>Pete Hahn</t>
  </si>
  <si>
    <t>Steve Katz, Chris Jordan, Tom Cooney</t>
  </si>
  <si>
    <t>1.2 Quarterly Progress Reports</t>
  </si>
  <si>
    <t>1.3 Preparation of Draft and Final Annual Report for fy05</t>
  </si>
  <si>
    <t>1.1  Develop CSMEP Quarterly Workplans [1]</t>
  </si>
  <si>
    <t>Notes:</t>
  </si>
  <si>
    <t>[1] to be coordinated w StreamNet, PNAMP and other entities</t>
  </si>
  <si>
    <t>1.6 Present CSMEP progress at various Columbia Basin forums [2]</t>
  </si>
  <si>
    <t xml:space="preserve">[2] examples would include NWPCC, TRTs, PNAMP, WA DOE, AFS NPIC  </t>
  </si>
  <si>
    <t>1.5 Coordination w PNAMP on joint activities and work products</t>
  </si>
  <si>
    <t xml:space="preserve">2.1 Inventory Tier 1 information [3] </t>
  </si>
  <si>
    <t>2.3 Identify a third set of subbasins to inventory</t>
  </si>
  <si>
    <t>3.2  CSMEP website improvement</t>
  </si>
  <si>
    <t>3.1   Continue to develop web-based data inventory system</t>
  </si>
  <si>
    <t>3.3  Develop protocol for making data available to CSMEP analysts</t>
  </si>
  <si>
    <t>4.1 Assess strengths &amp; weaknesses of data for Tier 1 questions</t>
  </si>
  <si>
    <t>4.2  Complete Tier 2 S&amp;W Assessment for 2nd set of subbasins</t>
  </si>
  <si>
    <t>4.3  Complete Tier 2 S&amp;W Assessment for 3rd set of subbasins</t>
  </si>
  <si>
    <t>4.4  Identify opportunities for Tier 3 Evaluations (C4 tables and beyond)</t>
  </si>
  <si>
    <t>5.2 Test and revise Tier 1 &amp; 2 design options / template [4]</t>
  </si>
  <si>
    <t>5.3  Develop &amp; evaluate Tier 3 design template [5]</t>
  </si>
  <si>
    <t>3. Organize subset of data into accessible form</t>
  </si>
  <si>
    <t xml:space="preserve">4. Evaluate ability to answer key questions with existing data </t>
  </si>
  <si>
    <t>6. Multi-agency implementation of monitoring programs.</t>
  </si>
  <si>
    <t xml:space="preserve">5. Collaborative monitoring program design </t>
  </si>
  <si>
    <t xml:space="preserve">        Fraction of task occurring in each month</t>
  </si>
  <si>
    <t>Dec</t>
  </si>
  <si>
    <t>Jan</t>
  </si>
  <si>
    <t>Feb</t>
  </si>
  <si>
    <t>Mar</t>
  </si>
  <si>
    <t>Apr</t>
  </si>
  <si>
    <t>May</t>
  </si>
  <si>
    <t>Jun</t>
  </si>
  <si>
    <t>Jul</t>
  </si>
  <si>
    <t>Aug</t>
  </si>
  <si>
    <t>Sept</t>
  </si>
  <si>
    <t>Oct</t>
  </si>
  <si>
    <t>Nov</t>
  </si>
  <si>
    <t>Sum</t>
  </si>
  <si>
    <t>Total days for Objective 5</t>
  </si>
  <si>
    <t>Diff (should be zero)</t>
  </si>
  <si>
    <t>Projected $ billed per task per month</t>
  </si>
  <si>
    <t>Total / task</t>
  </si>
  <si>
    <t>in budget</t>
  </si>
  <si>
    <t>Travel Details…</t>
  </si>
  <si>
    <t># flights</t>
  </si>
  <si>
    <t>cost / flight including ground transportation</t>
  </si>
  <si>
    <t># days per diem</t>
  </si>
  <si>
    <t># nights hotel accomodation</t>
  </si>
  <si>
    <t>cost / hotel night</t>
  </si>
  <si>
    <t>cost / per diem</t>
  </si>
  <si>
    <t>1. Develop Work Plans / Interact w Prog. Entities (all tasks)</t>
  </si>
  <si>
    <t>7. Multi-agency evaluation of results of new monitoring pgms.</t>
  </si>
  <si>
    <t>Total Cost of Travel</t>
  </si>
  <si>
    <t>Cost of travel without overhead</t>
  </si>
  <si>
    <t>Markup on travel costs</t>
  </si>
  <si>
    <t>Council Approved</t>
  </si>
  <si>
    <t>Colville</t>
  </si>
  <si>
    <t>TBA</t>
  </si>
  <si>
    <t>Total</t>
  </si>
  <si>
    <t>communication + reporting costs spread</t>
  </si>
  <si>
    <t>by task</t>
  </si>
  <si>
    <t xml:space="preserve">Total Fees </t>
  </si>
  <si>
    <t>Expenses by task</t>
  </si>
  <si>
    <t>Plus Expenses</t>
  </si>
  <si>
    <t>subcontract administration +</t>
  </si>
  <si>
    <t>across tasks according to fraction of total days</t>
  </si>
  <si>
    <t>J. Eckman, F. Young, K. Titzler</t>
  </si>
  <si>
    <t>?</t>
  </si>
  <si>
    <t>M. Filardo, T. Berggren, H. Franzoni</t>
  </si>
  <si>
    <t>Agreed upon FTEs</t>
  </si>
  <si>
    <t>Computed FTEs</t>
  </si>
  <si>
    <t>Funded Days</t>
  </si>
  <si>
    <t>Task</t>
  </si>
  <si>
    <t>2. Inventory existing data relevant to questions</t>
  </si>
  <si>
    <t>ESSA</t>
  </si>
  <si>
    <t>Marmorek</t>
  </si>
  <si>
    <t>Parnell</t>
  </si>
  <si>
    <t xml:space="preserve">           </t>
  </si>
  <si>
    <t>Daily Rate</t>
  </si>
  <si>
    <t>1 person-week = 5 days + 2 days contingency = 7 days (1.75 days each)</t>
  </si>
  <si>
    <t>Disbursements (billed at cost)</t>
  </si>
  <si>
    <t>Total Disbursements</t>
  </si>
  <si>
    <t>Total Fees + Disbursements</t>
  </si>
  <si>
    <t>Total days for Objective 1</t>
  </si>
  <si>
    <t>Total days for Objective 2</t>
  </si>
  <si>
    <t>Total days for Objective 3</t>
  </si>
  <si>
    <t>Funded by this proposal</t>
  </si>
  <si>
    <t>ODFW</t>
  </si>
  <si>
    <t>IDFG</t>
  </si>
  <si>
    <t>WDFW</t>
  </si>
  <si>
    <t>MDFWP</t>
  </si>
  <si>
    <t>CRITFC</t>
  </si>
  <si>
    <t>Yakama Nation</t>
  </si>
  <si>
    <t>Nez Perce</t>
  </si>
  <si>
    <t>Total Fees</t>
  </si>
  <si>
    <t>Total days for Objective 4</t>
  </si>
  <si>
    <t>Notes on time estimates for ESSA</t>
  </si>
  <si>
    <t>CBFWA Contract Administration (12.8%)</t>
  </si>
  <si>
    <t>Total Fees + Disbursements + Contract Administration</t>
  </si>
  <si>
    <t xml:space="preserve">      Communication</t>
  </si>
  <si>
    <t xml:space="preserve">      Travel </t>
  </si>
  <si>
    <t>Nick Bouwes</t>
  </si>
  <si>
    <t>2005</t>
  </si>
  <si>
    <t>: Difference between budgeted and approved</t>
  </si>
  <si>
    <t>Jim Gieselman</t>
  </si>
  <si>
    <t>BPA cost share</t>
  </si>
  <si>
    <t>Charlie Paulsen</t>
  </si>
  <si>
    <t>FTE Split between $'s and  Agency Cost share</t>
  </si>
  <si>
    <t>Estimated total billings per month</t>
  </si>
  <si>
    <t>% of annual billings/month</t>
  </si>
  <si>
    <t>Estimated total billings per quarter</t>
  </si>
  <si>
    <t>% of annual billings/quarter</t>
  </si>
  <si>
    <t>Fees</t>
  </si>
  <si>
    <t>Task 1</t>
  </si>
  <si>
    <t>Task 2</t>
  </si>
  <si>
    <t>Task 3</t>
  </si>
  <si>
    <t>Task 4</t>
  </si>
  <si>
    <t>Task 5</t>
  </si>
  <si>
    <t>Task 6</t>
  </si>
  <si>
    <t>Task 7</t>
  </si>
  <si>
    <t>Days</t>
  </si>
  <si>
    <t>% $'s</t>
  </si>
  <si>
    <t>% Days</t>
  </si>
  <si>
    <t>Task #</t>
  </si>
  <si>
    <t>2006</t>
  </si>
  <si>
    <t>FY06 $'s</t>
  </si>
  <si>
    <t>1.3 Preparation of Draft and Final Annual Report for FY05</t>
  </si>
  <si>
    <t>Abraham</t>
  </si>
  <si>
    <t>Pickard</t>
  </si>
  <si>
    <t>E. Weber, R. Sharma, J. Fryer, P. Roger</t>
  </si>
  <si>
    <t>P. Kucera; C. Beasley; J. Hesse; C. Rabe</t>
  </si>
  <si>
    <t>K. Wolf; J. Marco</t>
  </si>
  <si>
    <t>July 6 2005</t>
  </si>
  <si>
    <t>C. Petrosky; Tim Copeland; Claire McGrath</t>
  </si>
  <si>
    <t>Tom Rien</t>
  </si>
  <si>
    <t>7.1 Collaborative review of federal RME projects, WA SRFB Effectiveness Monitoring Projects, and other recent pilot projects</t>
  </si>
  <si>
    <t>5.2 Convert SRB into practical plan for Salmon basin pilot</t>
  </si>
  <si>
    <t>5.3  M&amp;E Recommendations for other subbasins in CRB</t>
  </si>
  <si>
    <t>5.4 Feed M&amp;E results into NPCC Rolling Provincial Review Process</t>
  </si>
  <si>
    <t>5.1  Consolidate Snake River Pilot M&amp;E design and PrOACT tradeoff analysis</t>
  </si>
  <si>
    <t>2.3 Report on the Inventory process</t>
  </si>
  <si>
    <t xml:space="preserve">2.1 Inventory Tier 1 information </t>
  </si>
  <si>
    <t xml:space="preserve">CRITFC </t>
  </si>
  <si>
    <t>P. Wilson</t>
  </si>
  <si>
    <t>[3] Nez Perce amount includes 55,679 for NP + 45,788 for Chris Beasley</t>
  </si>
  <si>
    <t xml:space="preserve">Objectives and Tasks </t>
  </si>
  <si>
    <t>Nez Perce [3]</t>
  </si>
  <si>
    <t>Hourly Rate</t>
  </si>
  <si>
    <t>ESSA Total Fees + Disbursements in July 6 budget</t>
  </si>
  <si>
    <t>ESSA Total Fees + Disbursements in current budget</t>
  </si>
  <si>
    <t>ESSA Total Fees</t>
  </si>
  <si>
    <t>days/month</t>
  </si>
  <si>
    <t>4.1 Organization of existing data for Snake Basin pilot design</t>
  </si>
  <si>
    <t>4.2 Organization of existing data for OR pilot design</t>
  </si>
  <si>
    <t>4.3 Organization of existing data for WA pilot design</t>
  </si>
  <si>
    <t>Eric Tinus, T. Dalton</t>
  </si>
  <si>
    <t>5.2 Convert SRB into practical plan for Salmon basin pilot (later OR and WA)</t>
  </si>
  <si>
    <t>Change in fees from fy06 budget</t>
  </si>
  <si>
    <t>2.1 QA on StreamNet Inventory Work prepatory to ID, WA, OR pilot designs</t>
  </si>
  <si>
    <t>3.1   Continue to improve web-based metadata system, links to data</t>
  </si>
  <si>
    <t>1.4 CSMEP conference calls, meetings and workshops</t>
  </si>
  <si>
    <t xml:space="preserve">1.3 Preparation of Draft and Final Annual Reports </t>
  </si>
  <si>
    <t>5.3  DQO work -&gt; M&amp;E Tools for other subbasins in CRB / Marketing</t>
  </si>
  <si>
    <t>2.2 Sockeye Data Inventory</t>
  </si>
  <si>
    <t>Lyman MacDonald</t>
  </si>
  <si>
    <t>n.a.</t>
  </si>
  <si>
    <t>Kim Hyatt, M. Stockwell</t>
  </si>
  <si>
    <t>K. Wolf</t>
  </si>
  <si>
    <t>% change from fy06</t>
  </si>
  <si>
    <t>$ change from fy06</t>
  </si>
  <si>
    <t>this equals actual overbudget in FY05</t>
  </si>
  <si>
    <t>Nick Bouwes; Robert Al-Chokhachy</t>
  </si>
  <si>
    <t>Kim Hyatt DFO</t>
  </si>
  <si>
    <t>DFO Cost Share</t>
  </si>
  <si>
    <t>Chris Jordan + ???</t>
  </si>
  <si>
    <t>Kim Hyatt &amp; M. Stockwell DFO</t>
  </si>
  <si>
    <t>Change in disbursements from fy06 budget</t>
  </si>
  <si>
    <t>fy06 budget</t>
  </si>
  <si>
    <t>Lyman MacDonald, WEST</t>
  </si>
  <si>
    <t>Nick Bouwes, Ecological Research</t>
  </si>
  <si>
    <t>Kim Hyatt, DFO</t>
  </si>
  <si>
    <t>Charlie Paulsen, PER</t>
  </si>
  <si>
    <t xml:space="preserve">Indirect Charges (CBFWA 12.8% of non CBFWA costs) </t>
  </si>
  <si>
    <t>CBFWA Meeting Costs</t>
  </si>
  <si>
    <t>[3] Nez Perce amount includes allocation for Chris Beasley (% dependent on ability of NP to hire biometrician)</t>
  </si>
  <si>
    <t>Objectives and Work Elements</t>
  </si>
  <si>
    <t>Description of Work Products</t>
  </si>
  <si>
    <t xml:space="preserve">Provide user-friendly summaries of CSMEP products in hierarchical form to communicate to multiple audiences </t>
  </si>
  <si>
    <t xml:space="preserve">Collaboratively prepared quarterly workplans to maximize integration and efficiency, avoid duplication of effort. </t>
  </si>
  <si>
    <t>1. Develop Work Plans / Interact with Programmatic Entities (all tasks)</t>
  </si>
  <si>
    <t>Quarterly reports by objective and work element to ensure close contract monitoring.</t>
  </si>
  <si>
    <t>Timing</t>
  </si>
  <si>
    <t>PNAMP, BPA, NPCC, StreamNet</t>
  </si>
  <si>
    <t>quarterly</t>
  </si>
  <si>
    <t>annual</t>
  </si>
  <si>
    <t>biweekly calls
3-4 workshops/yr</t>
  </si>
  <si>
    <r>
      <t>Calls:</t>
    </r>
    <r>
      <rPr>
        <sz val="10"/>
        <rFont val="Arial"/>
        <family val="2"/>
      </rPr>
      <t xml:space="preserve"> Track progress, review products, coordinate efforts.
</t>
    </r>
    <r>
      <rPr>
        <b/>
        <sz val="10"/>
        <rFont val="Arial"/>
        <family val="2"/>
      </rPr>
      <t>Workshops:</t>
    </r>
    <r>
      <rPr>
        <sz val="10"/>
        <rFont val="Arial"/>
        <family val="2"/>
      </rPr>
      <t xml:space="preserve"> Present results, get technical/programmatic feedback, brainstorm next steps in subgroups   </t>
    </r>
  </si>
  <si>
    <t xml:space="preserve">BPA </t>
  </si>
  <si>
    <r>
      <t xml:space="preserve">Calls: </t>
    </r>
    <r>
      <rPr>
        <sz val="10"/>
        <rFont val="Arial"/>
        <family val="2"/>
      </rPr>
      <t xml:space="preserve">internal
</t>
    </r>
    <r>
      <rPr>
        <b/>
        <sz val="10"/>
        <rFont val="Arial"/>
        <family val="2"/>
      </rPr>
      <t>Workshops:</t>
    </r>
    <r>
      <rPr>
        <sz val="10"/>
        <rFont val="Arial"/>
        <family val="2"/>
      </rPr>
      <t xml:space="preserve"> Programmatic and Policy Feedback for part of meeting</t>
    </r>
  </si>
  <si>
    <t>internal</t>
  </si>
  <si>
    <t xml:space="preserve">3-level annual reports: 2-pg. exec. Summary; ~25-pg. overview w ~75-pg. appendices; hyperlinked detailed reports </t>
  </si>
  <si>
    <t>Joint PNAMP/CSMEP workshop in spring each year; 
Annual work planning; Synthesis of work products</t>
  </si>
  <si>
    <t>annual workshop
plan mtgs twice/yr</t>
  </si>
  <si>
    <t>PNAMP Steering Committee</t>
  </si>
  <si>
    <t>Give presentations to inform region CSMEP outcomes and products, and to integrate with others' efforts</t>
  </si>
  <si>
    <t xml:space="preserve">NPCC, TRTs, PNAMP, WA DOE, AFS, EPA </t>
  </si>
  <si>
    <t>2-3 times / yr</t>
  </si>
  <si>
    <t>fy07 and fy08</t>
  </si>
  <si>
    <t>Update metadata inventory of Okanagan sockeye, add Wenatchee and Redfish Lake stocks</t>
  </si>
  <si>
    <t xml:space="preserve">fy07 </t>
  </si>
  <si>
    <t>DFO, Okanagan Nation Alliance</t>
  </si>
  <si>
    <t>Add hyper links from CSMEP database to on-line databases housed by agencies collecting/maintaining data</t>
  </si>
  <si>
    <t>CSMEP FY07-09: Overview of Objectives, Work Elements and Work Products</t>
  </si>
  <si>
    <r>
      <t>2.1</t>
    </r>
    <r>
      <rPr>
        <sz val="10"/>
        <rFont val="Arial"/>
        <family val="2"/>
      </rPr>
      <t xml:space="preserve">  QA on StreamNet Inventory Work prepatory to ID, WA, OR pilot designs</t>
    </r>
  </si>
  <si>
    <r>
      <t>1.2</t>
    </r>
    <r>
      <rPr>
        <sz val="10"/>
        <rFont val="Arial"/>
        <family val="2"/>
      </rPr>
      <t xml:space="preserve">  Quarterly Progress Reports</t>
    </r>
  </si>
  <si>
    <t>fy07-fy09</t>
  </si>
  <si>
    <r>
      <t>[2]</t>
    </r>
    <r>
      <rPr>
        <sz val="10"/>
        <rFont val="Arial"/>
        <family val="0"/>
      </rPr>
      <t xml:space="preserve"> CSMEP Metadata Application located at </t>
    </r>
    <r>
      <rPr>
        <u val="single"/>
        <sz val="10"/>
        <color indexed="12"/>
        <rFont val="Arial"/>
        <family val="2"/>
      </rPr>
      <t>https://nrimp.dfw.state.or.us/csmep/</t>
    </r>
    <r>
      <rPr>
        <sz val="10"/>
        <rFont val="Arial"/>
        <family val="0"/>
      </rPr>
      <t xml:space="preserve">  . Other possibilities for improvements include georeferenced displays of data locations (also dependent on StreamNet funding).</t>
    </r>
  </si>
  <si>
    <r>
      <t>[1]</t>
    </r>
    <r>
      <rPr>
        <sz val="10"/>
        <rFont val="Arial"/>
        <family val="0"/>
      </rPr>
      <t xml:space="preserve"> Inventories for salmon, steelhead, bull trout and other high priority resident fish. This assumes separate funding of StreamNet data inventory work. Twelve subbasins already have metadata inventories from StreamNet/CSMEP work in fy04 and fy05.</t>
    </r>
  </si>
  <si>
    <t>CBFWA web master Amy Langston</t>
  </si>
  <si>
    <t>mostly in fy06; some work in fy07</t>
  </si>
  <si>
    <t>StreamNet (separate contract); fed/state/tribal agencies with data</t>
  </si>
  <si>
    <t>Detailed review of CSMEP inventories and strengths &amp; weaknesses assessments; GIS overlays of existing sampling sites with EMAP master sample to refine sampling designs for status &amp; trend</t>
  </si>
  <si>
    <r>
      <t xml:space="preserve">Review StreamNet's metadata inventories (priority subbasins are CSMEP pilot designs in ID, WA and OR) </t>
    </r>
    <r>
      <rPr>
        <sz val="10"/>
        <color indexed="10"/>
        <rFont val="Arial"/>
        <family val="2"/>
      </rPr>
      <t>[1]</t>
    </r>
  </si>
  <si>
    <t>USFS, BLM, OR Aquatic Inventory, OWEB, OR DEQ, PCSRF, BoR, EPA, others</t>
  </si>
  <si>
    <t>USFS, BLM, OR Aquatic Inventory, OWEB, ID DEQ, PCSRF, BoR, EPA, others</t>
  </si>
  <si>
    <r>
      <t xml:space="preserve">Entities Collaborating w CSMEP Members </t>
    </r>
    <r>
      <rPr>
        <sz val="10"/>
        <color indexed="10"/>
        <rFont val="Arial"/>
        <family val="2"/>
      </rPr>
      <t>[5]</t>
    </r>
  </si>
  <si>
    <r>
      <t xml:space="preserve">[5] </t>
    </r>
    <r>
      <rPr>
        <b/>
        <sz val="10"/>
        <rFont val="Arial"/>
        <family val="2"/>
      </rPr>
      <t>Agencies involved in CSMEP</t>
    </r>
    <r>
      <rPr>
        <sz val="10"/>
        <rFont val="Arial"/>
        <family val="2"/>
      </rPr>
      <t xml:space="preserve">: CBFWA, NOAA Fisheries, USFWS, CRITFC, BPA, ODFW, WDFW, IDFG, Fish Passage Center (FPC), StreamNet, Nez Perce Tribe, Confederated Tribes of the Colville Reservation, Yakama Indian Nation </t>
    </r>
  </si>
  <si>
    <t xml:space="preserve">As above for work element 4.1. Area of OR pilot to be defined (e.g. Willamette, Deschutes). </t>
  </si>
  <si>
    <t xml:space="preserve">As above for work element 4.1. Area of WA pilot to be defined (e.g. Lower Snake, Lower Columbia). </t>
  </si>
  <si>
    <r>
      <t>1.1</t>
    </r>
    <r>
      <rPr>
        <sz val="10"/>
        <rFont val="Arial"/>
        <family val="2"/>
      </rPr>
      <t xml:space="preserve">   Develop CSMEP Quarterly Workplans </t>
    </r>
  </si>
  <si>
    <r>
      <t xml:space="preserve">1.3 </t>
    </r>
    <r>
      <rPr>
        <sz val="10"/>
        <rFont val="Arial"/>
        <family val="2"/>
      </rPr>
      <t xml:space="preserve"> Preparation of Draft and Final Annual Reports </t>
    </r>
  </si>
  <si>
    <r>
      <t>1.4</t>
    </r>
    <r>
      <rPr>
        <sz val="10"/>
        <rFont val="Arial"/>
        <family val="2"/>
      </rPr>
      <t xml:space="preserve">  CSMEP conference calls, meetings and workshops</t>
    </r>
  </si>
  <si>
    <r>
      <t xml:space="preserve">1.5 </t>
    </r>
    <r>
      <rPr>
        <sz val="10"/>
        <rFont val="Arial"/>
        <family val="2"/>
      </rPr>
      <t xml:space="preserve"> Coordination w PNAMP on joint activities and work products</t>
    </r>
  </si>
  <si>
    <r>
      <t>1.6</t>
    </r>
    <r>
      <rPr>
        <sz val="10"/>
        <rFont val="Arial"/>
        <family val="2"/>
      </rPr>
      <t xml:space="preserve">  Present CSMEP progress at various Columbia Basin forums </t>
    </r>
  </si>
  <si>
    <r>
      <t>2.2</t>
    </r>
    <r>
      <rPr>
        <sz val="10"/>
        <rFont val="Arial"/>
        <family val="2"/>
      </rPr>
      <t xml:space="preserve"> Sockeye Data Inventory</t>
    </r>
  </si>
  <si>
    <t>USFS, BLM, WA SRFB, WA DEQ, PCSRF, BoR, EPA, DFO, others</t>
  </si>
  <si>
    <r>
      <t>3.1</t>
    </r>
    <r>
      <rPr>
        <sz val="10"/>
        <rFont val="Arial"/>
        <family val="2"/>
      </rPr>
      <t xml:space="preserve">   Continue to improve CSMEP web-based metadata application </t>
    </r>
    <r>
      <rPr>
        <sz val="10"/>
        <color indexed="10"/>
        <rFont val="Arial"/>
        <family val="2"/>
      </rPr>
      <t>[2]</t>
    </r>
  </si>
  <si>
    <r>
      <t>3.2</t>
    </r>
    <r>
      <rPr>
        <sz val="10"/>
        <rFont val="Arial"/>
        <family val="2"/>
      </rPr>
      <t xml:space="preserve">  CSMEP website improvement </t>
    </r>
    <r>
      <rPr>
        <sz val="10"/>
        <color indexed="10"/>
        <rFont val="Arial"/>
        <family val="2"/>
      </rPr>
      <t>[3]</t>
    </r>
  </si>
  <si>
    <r>
      <t xml:space="preserve">4.1 </t>
    </r>
    <r>
      <rPr>
        <sz val="10"/>
        <rFont val="Arial"/>
        <family val="0"/>
      </rPr>
      <t xml:space="preserve"> Organization of existing data for Snake Basin pilot design </t>
    </r>
    <r>
      <rPr>
        <sz val="10"/>
        <color indexed="10"/>
        <rFont val="Arial"/>
        <family val="2"/>
      </rPr>
      <t>[4]</t>
    </r>
  </si>
  <si>
    <r>
      <t>4.2</t>
    </r>
    <r>
      <rPr>
        <sz val="10"/>
        <rFont val="Arial"/>
        <family val="0"/>
      </rPr>
      <t xml:space="preserve">  Organization of existing data for OR pilot design </t>
    </r>
  </si>
  <si>
    <r>
      <t>4.3</t>
    </r>
    <r>
      <rPr>
        <sz val="10"/>
        <rFont val="Arial"/>
        <family val="0"/>
      </rPr>
      <t xml:space="preserve">  Organization of existing data for WA pilot design</t>
    </r>
  </si>
  <si>
    <r>
      <t>[3]</t>
    </r>
    <r>
      <rPr>
        <sz val="10"/>
        <rFont val="Arial"/>
        <family val="0"/>
      </rPr>
      <t xml:space="preserve"> CSMEP main website for work products is </t>
    </r>
    <r>
      <rPr>
        <u val="single"/>
        <sz val="10"/>
        <color indexed="12"/>
        <rFont val="Arial"/>
        <family val="2"/>
      </rPr>
      <t>http://www.cbfwa.org/committees/csmep/</t>
    </r>
  </si>
  <si>
    <t>ID (fy06-07); 
OR (fy07-09); 
WA (fy07-09)</t>
  </si>
  <si>
    <t>Enter comments here by task</t>
  </si>
  <si>
    <t>Demonstrate cost-precision and other tradeoffs associated with alternative integrated designs that attempt to meet information needs for key decisions in recovery assessment and 4 H's.</t>
  </si>
  <si>
    <r>
      <t xml:space="preserve">[4] </t>
    </r>
    <r>
      <rPr>
        <sz val="10"/>
        <color indexed="8"/>
        <rFont val="Arial"/>
        <family val="2"/>
      </rPr>
      <t>Snake Basin pilot study to expand focus from spring/summer chinook to include more detail on steelhead, bull trout and other resident fish, as well as considering habitat monitoring. Focus is on Mountain Snake and Blue Mountain province, including Salmon, Clearwater, Grande Ronde, Imnaha, and Asotin subbasins (and their associated subbasin plans).</t>
    </r>
  </si>
  <si>
    <t>fy07-09</t>
  </si>
  <si>
    <r>
      <t xml:space="preserve">5.1  </t>
    </r>
    <r>
      <rPr>
        <sz val="10"/>
        <rFont val="Arial"/>
        <family val="0"/>
      </rPr>
      <t>Consolidate Snake River Pilot M&amp;E design and PrOACT tradeoff analysis</t>
    </r>
  </si>
  <si>
    <r>
      <t xml:space="preserve">5.2 </t>
    </r>
    <r>
      <rPr>
        <sz val="10"/>
        <rFont val="Arial"/>
        <family val="2"/>
      </rPr>
      <t>Convert pilot M&amp;E designs into practical plans for provincial / ESU scale areas in ID, OR, WA</t>
    </r>
  </si>
  <si>
    <r>
      <t xml:space="preserve">5.3  </t>
    </r>
    <r>
      <rPr>
        <sz val="10"/>
        <rFont val="Arial"/>
        <family val="0"/>
      </rPr>
      <t>DQO work -&gt; M&amp;E Tools for other subbasins in CRB / Marketing</t>
    </r>
  </si>
  <si>
    <r>
      <t xml:space="preserve">5.3a </t>
    </r>
    <r>
      <rPr>
        <sz val="10"/>
        <rFont val="Arial"/>
        <family val="0"/>
      </rPr>
      <t>Status &amp; Trends</t>
    </r>
  </si>
  <si>
    <r>
      <t xml:space="preserve">5.3b </t>
    </r>
    <r>
      <rPr>
        <sz val="10"/>
        <rFont val="Arial"/>
        <family val="0"/>
      </rPr>
      <t>Hydro</t>
    </r>
  </si>
  <si>
    <t>Market existence of tools and methods through CBFWA, PNAMP, NPCC websites and newsletters</t>
  </si>
  <si>
    <t xml:space="preserve">Generalize qualitative and quantitative tools developed in CSMEP DQO process for use throughout CRB. Present general implications to managers and scientists. </t>
  </si>
  <si>
    <t xml:space="preserve">Extend tools for assessing M&amp;E designs to detect recovery status (more VSP criteria, species); publish/present results. </t>
  </si>
  <si>
    <r>
      <t>5.3c</t>
    </r>
    <r>
      <rPr>
        <sz val="10"/>
        <rFont val="Arial"/>
        <family val="0"/>
      </rPr>
      <t xml:space="preserve"> Habitat</t>
    </r>
  </si>
  <si>
    <t>Work with restoration managers across multiple watersheds on implementation / M&amp;E methods that will maximize learning on restoration effectiveness at various scales.</t>
  </si>
  <si>
    <r>
      <t>5.3d</t>
    </r>
    <r>
      <rPr>
        <sz val="10"/>
        <rFont val="Arial"/>
        <family val="0"/>
      </rPr>
      <t xml:space="preserve"> Hatchery</t>
    </r>
  </si>
  <si>
    <t>Complete DQO steps 6-7 for hydrosystem decisions and publish/present results for feedback. Extend findings to other regions (i.e. Mid/Upper Columbia).</t>
  </si>
  <si>
    <t>as for work element 5.1. Build on insights gained from NOAA-AA pilot projects, policy survey</t>
  </si>
  <si>
    <t>Develop and present three provincial scale fish and habitat M&amp;E plans that integrate across issues, questions, species and agencies to meet identified priorities. Work towards implementation of these plans .</t>
  </si>
  <si>
    <t>Complete M&amp;E designs for large scale hatchery / supplementation questions (i.e. hatchery straying into wild populations, relative reproductive success) and present recommended plans</t>
  </si>
  <si>
    <t>Hatchery managers, ISRP/ISAB</t>
  </si>
  <si>
    <t>PNAMP entities, restoration managers, NOAA-AA pilot projects, ISRP/ISAB</t>
  </si>
  <si>
    <t>AFEP, NOAA-Hydro, PUDs, ISRP/ISAB</t>
  </si>
  <si>
    <t>Technical Recovery Teams, ISRP/ISAB</t>
  </si>
  <si>
    <t>Harvest managers (e.g. TAC, US v. OR, PST, CTC), ISRP/ISAB</t>
  </si>
  <si>
    <t>Complete M&amp;E designs for improving data for harvest pre-season and in-season decisions</t>
  </si>
  <si>
    <r>
      <t xml:space="preserve">5.3e </t>
    </r>
    <r>
      <rPr>
        <sz val="10"/>
        <rFont val="Arial"/>
        <family val="0"/>
      </rPr>
      <t>Harvest</t>
    </r>
  </si>
  <si>
    <t>NPCC, CBFWA</t>
  </si>
  <si>
    <t>Interact with CBFWA / NPCC managers to provide insights for project approval and M&amp;E guidelines</t>
  </si>
  <si>
    <r>
      <t xml:space="preserve">5.4 </t>
    </r>
    <r>
      <rPr>
        <sz val="10"/>
        <rFont val="Arial"/>
        <family val="0"/>
      </rPr>
      <t xml:space="preserve"> Feed M&amp;E results into NPCC Rolling Provincial Review Process</t>
    </r>
  </si>
  <si>
    <r>
      <t xml:space="preserve">5.5  </t>
    </r>
    <r>
      <rPr>
        <sz val="10"/>
        <rFont val="Arial"/>
        <family val="0"/>
      </rPr>
      <t>Get feedback from CRB entities on various M&amp;E designs</t>
    </r>
  </si>
  <si>
    <t>As described above under 5.2 and 5.3, but beyond immediate areas of pilot studies</t>
  </si>
  <si>
    <t xml:space="preserve">As for work element 5.1. </t>
  </si>
  <si>
    <t>Update plan developed in fy06 as new knowledge developed from CSMEP and NOAA-AA pilot projects.</t>
  </si>
  <si>
    <t>Interact with programmatic/policy entities with responsibiilty for decisions in recovery assessment and 4 H's to fine tune design, costs.</t>
  </si>
  <si>
    <t>NOAA-AA pilot projects</t>
  </si>
  <si>
    <t>Review results of Wenatchee, John Day and Salmon pilot projects as they are made available and incorporate into next set of designs.</t>
  </si>
  <si>
    <r>
      <t xml:space="preserve">6.1  </t>
    </r>
    <r>
      <rPr>
        <sz val="10"/>
        <rFont val="Arial"/>
        <family val="2"/>
      </rPr>
      <t>Develop broad conceptual plan for M&amp;E implementation across CRB</t>
    </r>
  </si>
  <si>
    <r>
      <t xml:space="preserve">7.1 </t>
    </r>
    <r>
      <rPr>
        <sz val="10"/>
        <rFont val="Arial"/>
        <family val="2"/>
      </rPr>
      <t>Collaborative review of federal RME projects, WA SRFB Effectiveness Monitoring Projects, and other recent pilot projects</t>
    </r>
  </si>
  <si>
    <t>CSMEP Schedule  FY07 - NOT DONE YET</t>
  </si>
  <si>
    <t>CSMEP Billings FY07 - NOT DONE YET</t>
  </si>
  <si>
    <t>Phil Roger</t>
  </si>
  <si>
    <t>Jesse Schwartz</t>
  </si>
  <si>
    <t>E. Weber, S.Y. Hyun, P. Galbreath, J. Fryer</t>
  </si>
  <si>
    <t>Umatilla</t>
  </si>
  <si>
    <t>December 13 2005</t>
  </si>
  <si>
    <t>Gary James</t>
  </si>
  <si>
    <t>Kristin Ryder; Pete Hahn; Dick O'Connor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</si>
</sst>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_-* #,##0.0_-;\-* #,##0.0_-;_-* &quot;-&quot;??_-;_-@_-"/>
    <numFmt numFmtId="175" formatCode="_-* #,##0_-;\-* #,##0_-;_-* &quot;-&quot;??_-;_-@_-"/>
    <numFmt numFmtId="176" formatCode="_(* #,##0.000_);_(* \(#,##0.000\);_(* &quot;-&quot;???_);_(@_)"/>
    <numFmt numFmtId="177" formatCode="&quot;$&quot;#,##0"/>
    <numFmt numFmtId="178" formatCode="#,##0_ ;\-#,##0\ "/>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
    <numFmt numFmtId="187" formatCode="_-* #,##0.000_-;\-* #,##0.000_-;_-* &quot;-&quot;??_-;_-@_-"/>
    <numFmt numFmtId="188" formatCode="&quot;Yes&quot;;&quot;Yes&quot;;&quot;No&quot;"/>
    <numFmt numFmtId="189" formatCode="&quot;True&quot;;&quot;True&quot;;&quot;False&quot;"/>
    <numFmt numFmtId="190" formatCode="&quot;On&quot;;&quot;On&quot;;&quot;Off&quot;"/>
    <numFmt numFmtId="191" formatCode="[$€-2]\ #,##0.00_);[Red]\([$€-2]\ #,##0.00\)"/>
  </numFmts>
  <fonts count="28">
    <font>
      <sz val="10"/>
      <name val="Arial"/>
      <family val="0"/>
    </font>
    <font>
      <b/>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sz val="10"/>
      <name val="Verdana"/>
      <family val="2"/>
    </font>
    <font>
      <sz val="11"/>
      <name val="Verdana"/>
      <family val="2"/>
    </font>
    <font>
      <sz val="12"/>
      <name val="Verdana"/>
      <family val="2"/>
    </font>
    <font>
      <b/>
      <sz val="11"/>
      <name val="Verdana"/>
      <family val="2"/>
    </font>
    <font>
      <b/>
      <sz val="10"/>
      <name val="Verdana"/>
      <family val="2"/>
    </font>
    <font>
      <sz val="10"/>
      <color indexed="20"/>
      <name val="Arial"/>
      <family val="2"/>
    </font>
    <font>
      <b/>
      <sz val="10"/>
      <color indexed="20"/>
      <name val="Arial"/>
      <family val="2"/>
    </font>
    <font>
      <sz val="10"/>
      <color indexed="57"/>
      <name val="Arial"/>
      <family val="2"/>
    </font>
    <font>
      <b/>
      <sz val="10"/>
      <color indexed="57"/>
      <name val="Arial"/>
      <family val="2"/>
    </font>
    <font>
      <sz val="10"/>
      <color indexed="12"/>
      <name val="Arial"/>
      <family val="2"/>
    </font>
    <font>
      <b/>
      <sz val="10"/>
      <color indexed="12"/>
      <name val="Arial"/>
      <family val="2"/>
    </font>
    <font>
      <b/>
      <sz val="14"/>
      <name val="Arial"/>
      <family val="2"/>
    </font>
    <font>
      <u val="single"/>
      <sz val="7.5"/>
      <color indexed="12"/>
      <name val="Arial"/>
      <family val="0"/>
    </font>
    <font>
      <u val="single"/>
      <sz val="7.5"/>
      <color indexed="36"/>
      <name val="Arial"/>
      <family val="0"/>
    </font>
    <font>
      <sz val="8"/>
      <name val="Tahoma"/>
      <family val="0"/>
    </font>
    <font>
      <b/>
      <sz val="8"/>
      <name val="Tahoma"/>
      <family val="0"/>
    </font>
    <font>
      <i/>
      <sz val="10"/>
      <name val="Arial"/>
      <family val="2"/>
    </font>
    <font>
      <b/>
      <sz val="17.5"/>
      <name val="Arial"/>
      <family val="0"/>
    </font>
    <font>
      <sz val="14.75"/>
      <name val="Arial"/>
      <family val="0"/>
    </font>
    <font>
      <sz val="8"/>
      <name val="Arial"/>
      <family val="0"/>
    </font>
    <font>
      <u val="single"/>
      <sz val="10"/>
      <color indexed="12"/>
      <name val="Arial"/>
      <family val="2"/>
    </font>
    <font>
      <b/>
      <sz val="8"/>
      <name val="Arial"/>
      <family val="2"/>
    </font>
  </fonts>
  <fills count="11">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15"/>
        <bgColor indexed="64"/>
      </patternFill>
    </fill>
    <fill>
      <patternFill patternType="solid">
        <fgColor indexed="45"/>
        <bgColor indexed="64"/>
      </patternFill>
    </fill>
    <fill>
      <patternFill patternType="solid">
        <fgColor indexed="47"/>
        <bgColor indexed="64"/>
      </patternFill>
    </fill>
  </fills>
  <borders count="43">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medium"/>
      <top style="medium"/>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thin"/>
      <right style="medium"/>
      <top style="medium"/>
      <bottom style="thin"/>
    </border>
    <border>
      <left style="thin"/>
      <right style="medium"/>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366">
    <xf numFmtId="0" fontId="0" fillId="0" borderId="0" xfId="0" applyAlignment="1">
      <alignment/>
    </xf>
    <xf numFmtId="0" fontId="1" fillId="0" borderId="0" xfId="0" applyFont="1" applyAlignment="1">
      <alignment/>
    </xf>
    <xf numFmtId="173" fontId="0" fillId="0" borderId="0" xfId="17" applyNumberFormat="1" applyAlignment="1">
      <alignment/>
    </xf>
    <xf numFmtId="0" fontId="0" fillId="0" borderId="1" xfId="0" applyBorder="1" applyAlignment="1">
      <alignment/>
    </xf>
    <xf numFmtId="0" fontId="1" fillId="0" borderId="0" xfId="0" applyFont="1" applyAlignment="1">
      <alignment horizontal="left"/>
    </xf>
    <xf numFmtId="173" fontId="1" fillId="0" borderId="0" xfId="17" applyNumberFormat="1" applyFont="1" applyAlignment="1">
      <alignment/>
    </xf>
    <xf numFmtId="0" fontId="0" fillId="0" borderId="0" xfId="0" applyFont="1" applyAlignment="1">
      <alignment/>
    </xf>
    <xf numFmtId="0" fontId="1" fillId="0" borderId="2" xfId="0" applyFont="1" applyBorder="1" applyAlignment="1">
      <alignment/>
    </xf>
    <xf numFmtId="0" fontId="0" fillId="0" borderId="3" xfId="0" applyBorder="1" applyAlignment="1">
      <alignment/>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3" fontId="1" fillId="0" borderId="0" xfId="0" applyNumberFormat="1" applyFont="1" applyAlignment="1">
      <alignment/>
    </xf>
    <xf numFmtId="0" fontId="2" fillId="0" borderId="0" xfId="0" applyFont="1" applyAlignment="1">
      <alignment/>
    </xf>
    <xf numFmtId="0" fontId="3" fillId="0" borderId="0" xfId="0" applyFont="1" applyAlignment="1">
      <alignment/>
    </xf>
    <xf numFmtId="173" fontId="3" fillId="0" borderId="0" xfId="17" applyNumberFormat="1" applyFont="1" applyAlignment="1">
      <alignment/>
    </xf>
    <xf numFmtId="173" fontId="3" fillId="0" borderId="0" xfId="0" applyNumberFormat="1" applyFont="1" applyAlignment="1">
      <alignment/>
    </xf>
    <xf numFmtId="1" fontId="2" fillId="0" borderId="0" xfId="0" applyNumberFormat="1" applyFont="1" applyAlignment="1">
      <alignment/>
    </xf>
    <xf numFmtId="173" fontId="0" fillId="0" borderId="0" xfId="0" applyNumberFormat="1" applyAlignment="1">
      <alignment/>
    </xf>
    <xf numFmtId="0" fontId="0" fillId="0" borderId="3" xfId="0" applyBorder="1" applyAlignment="1">
      <alignment horizontal="center" wrapText="1"/>
    </xf>
    <xf numFmtId="0" fontId="0" fillId="0" borderId="0" xfId="0" applyBorder="1" applyAlignment="1">
      <alignment horizontal="center" wrapText="1"/>
    </xf>
    <xf numFmtId="164" fontId="1" fillId="0" borderId="0" xfId="17" applyNumberFormat="1" applyFont="1" applyAlignment="1">
      <alignment/>
    </xf>
    <xf numFmtId="0" fontId="0" fillId="2" borderId="0" xfId="0" applyFill="1" applyAlignment="1">
      <alignment/>
    </xf>
    <xf numFmtId="0" fontId="0" fillId="2" borderId="7" xfId="0" applyFill="1" applyBorder="1" applyAlignment="1">
      <alignment horizontal="center" wrapText="1"/>
    </xf>
    <xf numFmtId="0" fontId="0" fillId="2" borderId="7" xfId="0" applyFill="1" applyBorder="1" applyAlignment="1">
      <alignment horizontal="center"/>
    </xf>
    <xf numFmtId="0" fontId="0" fillId="2" borderId="7" xfId="0" applyFill="1" applyBorder="1" applyAlignment="1">
      <alignment/>
    </xf>
    <xf numFmtId="164" fontId="0" fillId="2" borderId="7" xfId="17" applyNumberFormat="1" applyFont="1" applyFill="1" applyBorder="1" applyAlignment="1">
      <alignment/>
    </xf>
    <xf numFmtId="164" fontId="1" fillId="2" borderId="7" xfId="17" applyNumberFormat="1" applyFont="1" applyFill="1" applyBorder="1" applyAlignment="1">
      <alignment/>
    </xf>
    <xf numFmtId="178" fontId="0" fillId="2" borderId="7" xfId="17" applyNumberFormat="1" applyFont="1" applyFill="1" applyBorder="1" applyAlignment="1">
      <alignment/>
    </xf>
    <xf numFmtId="0" fontId="1" fillId="0" borderId="0" xfId="0" applyFont="1" applyAlignment="1">
      <alignment horizontal="right"/>
    </xf>
    <xf numFmtId="0" fontId="0" fillId="2" borderId="8" xfId="0" applyFill="1" applyBorder="1" applyAlignment="1">
      <alignment/>
    </xf>
    <xf numFmtId="0" fontId="0" fillId="2"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3" borderId="13" xfId="0" applyFill="1" applyBorder="1" applyAlignment="1">
      <alignment/>
    </xf>
    <xf numFmtId="0" fontId="0" fillId="3" borderId="14" xfId="0" applyFont="1" applyFill="1" applyBorder="1" applyAlignment="1">
      <alignment/>
    </xf>
    <xf numFmtId="0" fontId="0" fillId="3" borderId="15" xfId="0" applyFill="1" applyBorder="1" applyAlignment="1">
      <alignment/>
    </xf>
    <xf numFmtId="0" fontId="1" fillId="3" borderId="9" xfId="0" applyFont="1" applyFill="1" applyBorder="1" applyAlignment="1">
      <alignment/>
    </xf>
    <xf numFmtId="0" fontId="0" fillId="3" borderId="16" xfId="0" applyFill="1" applyBorder="1" applyAlignment="1">
      <alignment/>
    </xf>
    <xf numFmtId="2" fontId="0" fillId="0" borderId="0" xfId="0" applyNumberFormat="1" applyAlignment="1">
      <alignment/>
    </xf>
    <xf numFmtId="0" fontId="0" fillId="0" borderId="4" xfId="0" applyBorder="1" applyAlignment="1">
      <alignment horizontal="center" wrapText="1"/>
    </xf>
    <xf numFmtId="0" fontId="1" fillId="4" borderId="0" xfId="0" applyFont="1" applyFill="1" applyAlignment="1">
      <alignment/>
    </xf>
    <xf numFmtId="0" fontId="0" fillId="0" borderId="0" xfId="0" applyFill="1" applyAlignment="1">
      <alignment/>
    </xf>
    <xf numFmtId="175" fontId="1" fillId="0" borderId="0" xfId="17" applyNumberFormat="1" applyFont="1" applyAlignment="1">
      <alignment/>
    </xf>
    <xf numFmtId="2" fontId="4" fillId="0" borderId="0" xfId="0" applyNumberFormat="1" applyFont="1" applyFill="1" applyAlignment="1">
      <alignment/>
    </xf>
    <xf numFmtId="2" fontId="4" fillId="0" borderId="0" xfId="0" applyNumberFormat="1" applyFont="1" applyAlignment="1">
      <alignment/>
    </xf>
    <xf numFmtId="2" fontId="4" fillId="2" borderId="0" xfId="0" applyNumberFormat="1" applyFont="1" applyFill="1" applyAlignment="1">
      <alignment/>
    </xf>
    <xf numFmtId="0" fontId="4" fillId="0" borderId="0" xfId="0" applyFont="1" applyAlignment="1">
      <alignment/>
    </xf>
    <xf numFmtId="0" fontId="5" fillId="0" borderId="0" xfId="0" applyFont="1" applyAlignment="1">
      <alignment/>
    </xf>
    <xf numFmtId="173" fontId="5" fillId="0" borderId="0" xfId="17" applyNumberFormat="1" applyFont="1" applyAlignment="1">
      <alignment/>
    </xf>
    <xf numFmtId="1" fontId="4" fillId="0" borderId="0" xfId="0" applyNumberFormat="1" applyFont="1" applyAlignment="1">
      <alignment/>
    </xf>
    <xf numFmtId="173" fontId="5" fillId="0" borderId="0" xfId="0" applyNumberFormat="1" applyFont="1" applyAlignment="1">
      <alignment/>
    </xf>
    <xf numFmtId="2" fontId="0" fillId="4" borderId="0" xfId="0" applyNumberFormat="1" applyFill="1" applyAlignment="1">
      <alignment/>
    </xf>
    <xf numFmtId="184" fontId="0" fillId="4" borderId="0" xfId="0" applyNumberFormat="1" applyFill="1" applyAlignment="1">
      <alignment/>
    </xf>
    <xf numFmtId="0" fontId="0" fillId="3" borderId="0" xfId="0" applyFill="1" applyBorder="1" applyAlignment="1">
      <alignment/>
    </xf>
    <xf numFmtId="2" fontId="0" fillId="0" borderId="0" xfId="0" applyNumberFormat="1" applyFill="1" applyAlignment="1">
      <alignment/>
    </xf>
    <xf numFmtId="184" fontId="0" fillId="0" borderId="0" xfId="0" applyNumberFormat="1" applyFill="1" applyAlignment="1">
      <alignment/>
    </xf>
    <xf numFmtId="2" fontId="1" fillId="0" borderId="0" xfId="0" applyNumberFormat="1" applyFont="1" applyAlignment="1">
      <alignment/>
    </xf>
    <xf numFmtId="184" fontId="4" fillId="0" borderId="0" xfId="0" applyNumberFormat="1" applyFont="1" applyAlignment="1">
      <alignment/>
    </xf>
    <xf numFmtId="186" fontId="0" fillId="0" borderId="0" xfId="21" applyNumberFormat="1" applyAlignment="1">
      <alignment/>
    </xf>
    <xf numFmtId="186" fontId="0" fillId="0" borderId="0" xfId="0" applyNumberFormat="1" applyAlignment="1">
      <alignment/>
    </xf>
    <xf numFmtId="0" fontId="0" fillId="0" borderId="0" xfId="0" applyFont="1" applyFill="1" applyBorder="1" applyAlignment="1">
      <alignment/>
    </xf>
    <xf numFmtId="0" fontId="1" fillId="0" borderId="9" xfId="0" applyFont="1" applyFill="1" applyBorder="1" applyAlignment="1">
      <alignment/>
    </xf>
    <xf numFmtId="0" fontId="1" fillId="0" borderId="0" xfId="0" applyFont="1" applyFill="1" applyBorder="1" applyAlignment="1">
      <alignment/>
    </xf>
    <xf numFmtId="173" fontId="1" fillId="0" borderId="0" xfId="17" applyNumberFormat="1" applyFont="1" applyFill="1" applyBorder="1" applyAlignment="1">
      <alignment/>
    </xf>
    <xf numFmtId="184" fontId="0" fillId="0" borderId="0" xfId="0" applyNumberFormat="1" applyAlignment="1">
      <alignment/>
    </xf>
    <xf numFmtId="0" fontId="0" fillId="0" borderId="0" xfId="0" applyFont="1" applyFill="1" applyAlignment="1">
      <alignment/>
    </xf>
    <xf numFmtId="0" fontId="0" fillId="0" borderId="0" xfId="0" applyFont="1" applyAlignment="1">
      <alignment horizontal="left"/>
    </xf>
    <xf numFmtId="0" fontId="6" fillId="0" borderId="0" xfId="0" applyFont="1" applyAlignment="1">
      <alignment/>
    </xf>
    <xf numFmtId="0" fontId="7" fillId="0" borderId="0" xfId="0" applyFont="1" applyBorder="1" applyAlignment="1">
      <alignment horizontal="left"/>
    </xf>
    <xf numFmtId="0" fontId="6" fillId="0" borderId="0" xfId="0" applyFont="1" applyAlignment="1">
      <alignment horizontal="center"/>
    </xf>
    <xf numFmtId="0" fontId="6" fillId="0" borderId="0" xfId="0" applyFont="1" applyBorder="1" applyAlignment="1">
      <alignment horizontal="center"/>
    </xf>
    <xf numFmtId="0" fontId="8" fillId="0" borderId="3" xfId="0" applyFont="1" applyBorder="1" applyAlignment="1">
      <alignment horizontal="center"/>
    </xf>
    <xf numFmtId="0" fontId="6" fillId="0" borderId="3" xfId="0" applyFont="1" applyBorder="1" applyAlignment="1">
      <alignment horizontal="center"/>
    </xf>
    <xf numFmtId="0" fontId="8" fillId="0" borderId="3" xfId="0" applyFont="1" applyBorder="1" applyAlignment="1" quotePrefix="1">
      <alignment horizontal="center"/>
    </xf>
    <xf numFmtId="0" fontId="6" fillId="0" borderId="17" xfId="0" applyFont="1" applyBorder="1" applyAlignment="1">
      <alignment horizontal="center"/>
    </xf>
    <xf numFmtId="0" fontId="10" fillId="0" borderId="0" xfId="0" applyFont="1" applyAlignment="1">
      <alignment horizontal="right"/>
    </xf>
    <xf numFmtId="0" fontId="6" fillId="0" borderId="2" xfId="0" applyFont="1" applyBorder="1" applyAlignment="1">
      <alignment/>
    </xf>
    <xf numFmtId="0" fontId="8" fillId="0" borderId="2" xfId="0" applyFont="1" applyBorder="1" applyAlignment="1" quotePrefix="1">
      <alignment horizontal="left"/>
    </xf>
    <xf numFmtId="0" fontId="8" fillId="0" borderId="2" xfId="0" applyFont="1" applyBorder="1" applyAlignment="1">
      <alignment horizontal="center"/>
    </xf>
    <xf numFmtId="0" fontId="1" fillId="0" borderId="0" xfId="0" applyFont="1" applyFill="1" applyAlignment="1">
      <alignment/>
    </xf>
    <xf numFmtId="0" fontId="9" fillId="0" borderId="18" xfId="0" applyFont="1" applyBorder="1" applyAlignment="1">
      <alignment/>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175" fontId="6" fillId="0" borderId="0" xfId="15" applyNumberFormat="1" applyFont="1" applyAlignment="1">
      <alignment/>
    </xf>
    <xf numFmtId="0" fontId="10" fillId="0" borderId="0" xfId="0" applyFont="1" applyAlignment="1">
      <alignment/>
    </xf>
    <xf numFmtId="175" fontId="6" fillId="0" borderId="0" xfId="0" applyNumberFormat="1" applyFont="1" applyAlignment="1">
      <alignment/>
    </xf>
    <xf numFmtId="0" fontId="0" fillId="0" borderId="0" xfId="0" applyFont="1" applyAlignment="1">
      <alignment horizontal="right"/>
    </xf>
    <xf numFmtId="175" fontId="0" fillId="0" borderId="0" xfId="15" applyNumberFormat="1" applyFont="1" applyAlignment="1">
      <alignment/>
    </xf>
    <xf numFmtId="173" fontId="0" fillId="0" borderId="0" xfId="17" applyNumberFormat="1" applyFont="1" applyAlignment="1">
      <alignment/>
    </xf>
    <xf numFmtId="173" fontId="1" fillId="0" borderId="0" xfId="17" applyNumberFormat="1" applyFont="1" applyFill="1" applyAlignment="1">
      <alignment/>
    </xf>
    <xf numFmtId="0" fontId="11" fillId="0" borderId="0" xfId="0" applyFont="1" applyAlignment="1">
      <alignment horizontal="right"/>
    </xf>
    <xf numFmtId="175" fontId="11" fillId="0" borderId="0" xfId="15" applyNumberFormat="1" applyFont="1" applyAlignment="1">
      <alignment/>
    </xf>
    <xf numFmtId="173" fontId="12" fillId="0" borderId="0" xfId="0" applyNumberFormat="1" applyFont="1" applyAlignment="1">
      <alignment/>
    </xf>
    <xf numFmtId="0" fontId="11" fillId="0" borderId="0" xfId="0" applyFont="1" applyAlignment="1">
      <alignment/>
    </xf>
    <xf numFmtId="173" fontId="12" fillId="0" borderId="0" xfId="17" applyNumberFormat="1" applyFont="1" applyAlignment="1">
      <alignment/>
    </xf>
    <xf numFmtId="173" fontId="12" fillId="0" borderId="0" xfId="17" applyNumberFormat="1" applyFont="1" applyFill="1" applyAlignment="1">
      <alignment/>
    </xf>
    <xf numFmtId="173" fontId="11" fillId="0" borderId="0" xfId="0" applyNumberFormat="1" applyFont="1" applyAlignment="1">
      <alignment/>
    </xf>
    <xf numFmtId="0" fontId="13" fillId="0" borderId="0" xfId="0" applyFont="1" applyAlignment="1">
      <alignment horizontal="right"/>
    </xf>
    <xf numFmtId="175" fontId="13" fillId="0" borderId="0" xfId="15" applyNumberFormat="1" applyFont="1" applyAlignment="1">
      <alignment/>
    </xf>
    <xf numFmtId="173" fontId="14" fillId="0" borderId="0" xfId="0" applyNumberFormat="1" applyFont="1" applyAlignment="1">
      <alignment/>
    </xf>
    <xf numFmtId="0" fontId="13" fillId="0" borderId="0" xfId="0" applyFont="1" applyAlignment="1">
      <alignment/>
    </xf>
    <xf numFmtId="173" fontId="14" fillId="0" borderId="0" xfId="17" applyNumberFormat="1" applyFont="1" applyAlignment="1">
      <alignment/>
    </xf>
    <xf numFmtId="173" fontId="14" fillId="0" borderId="0" xfId="17" applyNumberFormat="1" applyFont="1" applyFill="1" applyAlignment="1">
      <alignment/>
    </xf>
    <xf numFmtId="173" fontId="13" fillId="0" borderId="0" xfId="0" applyNumberFormat="1" applyFont="1" applyAlignment="1">
      <alignment/>
    </xf>
    <xf numFmtId="0" fontId="15" fillId="0" borderId="0" xfId="0" applyFont="1" applyAlignment="1">
      <alignment horizontal="right"/>
    </xf>
    <xf numFmtId="0" fontId="15" fillId="0" borderId="0" xfId="0" applyFont="1" applyAlignment="1">
      <alignment/>
    </xf>
    <xf numFmtId="0" fontId="15" fillId="0" borderId="0" xfId="0" applyFont="1" applyFill="1" applyAlignment="1">
      <alignment/>
    </xf>
    <xf numFmtId="173" fontId="15" fillId="0" borderId="0" xfId="17" applyNumberFormat="1" applyFont="1" applyAlignment="1">
      <alignment/>
    </xf>
    <xf numFmtId="173" fontId="16" fillId="0" borderId="0" xfId="17" applyNumberFormat="1" applyFont="1" applyFill="1" applyAlignment="1">
      <alignment/>
    </xf>
    <xf numFmtId="173" fontId="0" fillId="0" borderId="0" xfId="17" applyNumberFormat="1" applyFont="1" applyFill="1" applyAlignment="1">
      <alignment/>
    </xf>
    <xf numFmtId="0" fontId="17" fillId="0" borderId="0" xfId="0" applyFont="1" applyAlignment="1">
      <alignment/>
    </xf>
    <xf numFmtId="175" fontId="0" fillId="0" borderId="0" xfId="0" applyNumberFormat="1" applyFont="1" applyAlignment="1">
      <alignment/>
    </xf>
    <xf numFmtId="186" fontId="0" fillId="0" borderId="0" xfId="21" applyNumberFormat="1" applyFont="1" applyAlignment="1">
      <alignment/>
    </xf>
    <xf numFmtId="9" fontId="1" fillId="0" borderId="0" xfId="21" applyFont="1" applyFill="1" applyAlignment="1">
      <alignment/>
    </xf>
    <xf numFmtId="173" fontId="1" fillId="2" borderId="0" xfId="17" applyNumberFormat="1" applyFont="1" applyFill="1" applyAlignment="1">
      <alignment/>
    </xf>
    <xf numFmtId="0" fontId="1" fillId="5" borderId="0" xfId="0" applyFont="1" applyFill="1" applyAlignment="1">
      <alignment/>
    </xf>
    <xf numFmtId="0" fontId="1" fillId="5" borderId="0" xfId="0" applyFont="1" applyFill="1" applyAlignment="1">
      <alignment horizontal="right"/>
    </xf>
    <xf numFmtId="0" fontId="0" fillId="5" borderId="0" xfId="0" applyFill="1" applyAlignment="1">
      <alignment/>
    </xf>
    <xf numFmtId="173" fontId="1" fillId="5" borderId="0" xfId="0" applyNumberFormat="1" applyFont="1" applyFill="1" applyAlignment="1">
      <alignment/>
    </xf>
    <xf numFmtId="0" fontId="0" fillId="4" borderId="0" xfId="0" applyFill="1" applyAlignment="1">
      <alignment/>
    </xf>
    <xf numFmtId="173" fontId="1" fillId="4" borderId="0" xfId="0" applyNumberFormat="1" applyFont="1" applyFill="1" applyAlignment="1">
      <alignment/>
    </xf>
    <xf numFmtId="0" fontId="1" fillId="3" borderId="0" xfId="0" applyFont="1" applyFill="1" applyAlignment="1">
      <alignment/>
    </xf>
    <xf numFmtId="0" fontId="0" fillId="3" borderId="0" xfId="0" applyFill="1" applyAlignment="1">
      <alignment/>
    </xf>
    <xf numFmtId="173" fontId="1" fillId="3" borderId="0" xfId="0" applyNumberFormat="1" applyFont="1" applyFill="1" applyAlignment="1">
      <alignment/>
    </xf>
    <xf numFmtId="185" fontId="4" fillId="0" borderId="0" xfId="0" applyNumberFormat="1" applyFont="1" applyAlignment="1">
      <alignment/>
    </xf>
    <xf numFmtId="185" fontId="1" fillId="0" borderId="0" xfId="0" applyNumberFormat="1" applyFont="1" applyAlignment="1">
      <alignment/>
    </xf>
    <xf numFmtId="0" fontId="0" fillId="0" borderId="0" xfId="0" applyFont="1" applyFill="1" applyBorder="1" applyAlignment="1">
      <alignment horizontal="center" wrapText="1"/>
    </xf>
    <xf numFmtId="173" fontId="0" fillId="0" borderId="0" xfId="17" applyNumberFormat="1" applyAlignment="1">
      <alignment/>
    </xf>
    <xf numFmtId="175" fontId="0" fillId="0" borderId="0" xfId="17" applyNumberFormat="1" applyAlignment="1">
      <alignment/>
    </xf>
    <xf numFmtId="173" fontId="0" fillId="2" borderId="7" xfId="17" applyNumberFormat="1" applyFill="1" applyBorder="1" applyAlignment="1">
      <alignment/>
    </xf>
    <xf numFmtId="173" fontId="0" fillId="0" borderId="0" xfId="17" applyNumberFormat="1" applyFont="1" applyFill="1" applyAlignment="1">
      <alignment/>
    </xf>
    <xf numFmtId="173" fontId="0" fillId="4" borderId="0" xfId="17" applyNumberFormat="1" applyFill="1" applyAlignment="1">
      <alignment/>
    </xf>
    <xf numFmtId="10" fontId="0" fillId="4" borderId="0" xfId="21" applyNumberFormat="1" applyFill="1" applyAlignment="1">
      <alignment/>
    </xf>
    <xf numFmtId="173" fontId="0" fillId="5" borderId="0" xfId="17" applyNumberFormat="1" applyFill="1" applyAlignment="1">
      <alignment/>
    </xf>
    <xf numFmtId="10" fontId="0" fillId="5" borderId="0" xfId="21" applyNumberFormat="1" applyFill="1" applyAlignment="1">
      <alignment/>
    </xf>
    <xf numFmtId="173" fontId="0" fillId="3" borderId="0" xfId="17" applyNumberFormat="1" applyFill="1" applyAlignment="1">
      <alignment/>
    </xf>
    <xf numFmtId="10" fontId="0" fillId="3" borderId="0" xfId="21" applyNumberFormat="1" applyFill="1" applyAlignment="1">
      <alignment/>
    </xf>
    <xf numFmtId="10" fontId="0" fillId="0" borderId="0" xfId="21" applyNumberFormat="1" applyAlignment="1">
      <alignment/>
    </xf>
    <xf numFmtId="3" fontId="0" fillId="0" borderId="0" xfId="0" applyNumberFormat="1" applyAlignment="1">
      <alignment/>
    </xf>
    <xf numFmtId="15" fontId="17" fillId="2" borderId="0" xfId="0" applyNumberFormat="1" applyFont="1" applyFill="1" applyAlignment="1">
      <alignment horizontal="left"/>
    </xf>
    <xf numFmtId="164" fontId="1" fillId="2" borderId="9" xfId="17" applyNumberFormat="1" applyFont="1" applyFill="1" applyBorder="1" applyAlignment="1">
      <alignment/>
    </xf>
    <xf numFmtId="164" fontId="0" fillId="2" borderId="0" xfId="17" applyNumberFormat="1" applyFont="1" applyFill="1" applyBorder="1" applyAlignment="1">
      <alignment/>
    </xf>
    <xf numFmtId="0" fontId="0" fillId="4" borderId="22" xfId="0" applyFill="1" applyBorder="1" applyAlignment="1">
      <alignment wrapText="1"/>
    </xf>
    <xf numFmtId="0" fontId="0" fillId="6" borderId="17" xfId="0" applyFill="1" applyBorder="1" applyAlignment="1">
      <alignment horizontal="center"/>
    </xf>
    <xf numFmtId="172" fontId="1" fillId="0" borderId="0" xfId="17" applyNumberFormat="1" applyFont="1" applyAlignment="1">
      <alignment/>
    </xf>
    <xf numFmtId="178" fontId="0" fillId="2" borderId="0" xfId="17" applyNumberFormat="1" applyFont="1" applyFill="1" applyBorder="1" applyAlignment="1">
      <alignment/>
    </xf>
    <xf numFmtId="0" fontId="22" fillId="0" borderId="0" xfId="0" applyFont="1" applyAlignment="1">
      <alignment/>
    </xf>
    <xf numFmtId="175" fontId="0" fillId="0" borderId="0" xfId="17" applyNumberFormat="1" applyFont="1" applyAlignment="1">
      <alignment/>
    </xf>
    <xf numFmtId="0" fontId="0" fillId="0" borderId="0" xfId="0" applyAlignment="1">
      <alignment/>
    </xf>
    <xf numFmtId="0" fontId="1" fillId="0" borderId="0" xfId="0" applyFont="1" applyFill="1" applyAlignment="1">
      <alignment horizontal="right"/>
    </xf>
    <xf numFmtId="173" fontId="4" fillId="0" borderId="0" xfId="0" applyNumberFormat="1" applyFont="1" applyFill="1" applyAlignment="1">
      <alignment/>
    </xf>
    <xf numFmtId="173" fontId="0" fillId="0" borderId="0" xfId="0" applyNumberFormat="1" applyFill="1" applyAlignment="1">
      <alignment/>
    </xf>
    <xf numFmtId="3" fontId="0" fillId="0" borderId="0" xfId="0" applyNumberFormat="1" applyFill="1" applyAlignment="1">
      <alignment/>
    </xf>
    <xf numFmtId="173" fontId="1" fillId="0" borderId="0" xfId="0" applyNumberFormat="1" applyFont="1" applyFill="1" applyAlignment="1">
      <alignment/>
    </xf>
    <xf numFmtId="1" fontId="1" fillId="0" borderId="0" xfId="0" applyNumberFormat="1" applyFont="1" applyAlignment="1">
      <alignment/>
    </xf>
    <xf numFmtId="0" fontId="0" fillId="6" borderId="22" xfId="0" applyFill="1" applyBorder="1" applyAlignment="1">
      <alignment horizontal="center"/>
    </xf>
    <xf numFmtId="0" fontId="0" fillId="6" borderId="22" xfId="0" applyFill="1" applyBorder="1" applyAlignment="1">
      <alignment horizontal="center" wrapText="1"/>
    </xf>
    <xf numFmtId="185" fontId="0" fillId="0" borderId="0" xfId="0" applyNumberFormat="1" applyFont="1" applyAlignment="1">
      <alignment/>
    </xf>
    <xf numFmtId="0" fontId="0" fillId="7" borderId="0" xfId="0" applyFont="1" applyFill="1" applyAlignment="1">
      <alignment/>
    </xf>
    <xf numFmtId="0" fontId="0" fillId="7" borderId="0" xfId="0" applyFill="1" applyAlignment="1">
      <alignment/>
    </xf>
    <xf numFmtId="14" fontId="1" fillId="5" borderId="0" xfId="0" applyNumberFormat="1" applyFont="1" applyFill="1" applyAlignment="1">
      <alignment/>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Fill="1" applyBorder="1" applyAlignment="1">
      <alignment/>
    </xf>
    <xf numFmtId="0" fontId="0" fillId="0" borderId="16" xfId="0" applyFill="1" applyBorder="1" applyAlignment="1">
      <alignment/>
    </xf>
    <xf numFmtId="0" fontId="0" fillId="0" borderId="13" xfId="0" applyFill="1" applyBorder="1" applyAlignment="1">
      <alignment/>
    </xf>
    <xf numFmtId="164" fontId="0" fillId="0" borderId="0" xfId="17" applyNumberFormat="1" applyFont="1" applyFill="1" applyBorder="1" applyAlignment="1">
      <alignment/>
    </xf>
    <xf numFmtId="164" fontId="1" fillId="0" borderId="0" xfId="17" applyNumberFormat="1" applyFont="1" applyFill="1" applyBorder="1" applyAlignment="1">
      <alignment/>
    </xf>
    <xf numFmtId="173" fontId="0" fillId="0" borderId="0" xfId="17" applyNumberFormat="1" applyFill="1" applyBorder="1" applyAlignment="1">
      <alignment/>
    </xf>
    <xf numFmtId="178" fontId="0"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186" fontId="1" fillId="0" borderId="0" xfId="21" applyNumberFormat="1" applyFont="1" applyFill="1" applyBorder="1" applyAlignment="1">
      <alignment/>
    </xf>
    <xf numFmtId="164" fontId="0" fillId="0" borderId="0" xfId="0" applyNumberFormat="1" applyAlignment="1">
      <alignment/>
    </xf>
    <xf numFmtId="0" fontId="1" fillId="0" borderId="0" xfId="0" applyFont="1" applyAlignment="1">
      <alignment horizontal="center"/>
    </xf>
    <xf numFmtId="0" fontId="3" fillId="0" borderId="0" xfId="0" applyFont="1" applyAlignment="1">
      <alignment horizontal="left"/>
    </xf>
    <xf numFmtId="173" fontId="3" fillId="0" borderId="0" xfId="17" applyNumberFormat="1" applyFont="1" applyAlignment="1">
      <alignment/>
    </xf>
    <xf numFmtId="173" fontId="3" fillId="0" borderId="0" xfId="0" applyNumberFormat="1" applyFont="1" applyAlignment="1">
      <alignment/>
    </xf>
    <xf numFmtId="0" fontId="3" fillId="0" borderId="0" xfId="0" applyFont="1" applyAlignment="1">
      <alignment/>
    </xf>
    <xf numFmtId="0" fontId="3" fillId="0" borderId="0" xfId="0" applyFont="1" applyFill="1" applyAlignment="1">
      <alignment/>
    </xf>
    <xf numFmtId="164" fontId="3" fillId="0" borderId="0" xfId="17" applyNumberFormat="1" applyFont="1" applyAlignment="1">
      <alignment/>
    </xf>
    <xf numFmtId="173" fontId="3" fillId="0" borderId="0" xfId="0" applyNumberFormat="1" applyFont="1" applyFill="1" applyBorder="1" applyAlignment="1">
      <alignment/>
    </xf>
    <xf numFmtId="0" fontId="2" fillId="0" borderId="0" xfId="0" applyFont="1" applyAlignment="1">
      <alignment/>
    </xf>
    <xf numFmtId="173" fontId="3" fillId="0" borderId="0" xfId="17" applyNumberFormat="1" applyFont="1" applyFill="1" applyAlignment="1">
      <alignment/>
    </xf>
    <xf numFmtId="0" fontId="2" fillId="0" borderId="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185" fontId="3" fillId="0" borderId="0" xfId="0" applyNumberFormat="1" applyFont="1" applyAlignment="1">
      <alignment/>
    </xf>
    <xf numFmtId="0" fontId="2" fillId="7" borderId="0" xfId="0" applyFont="1" applyFill="1" applyAlignment="1">
      <alignment/>
    </xf>
    <xf numFmtId="185" fontId="2" fillId="0" borderId="0" xfId="0" applyNumberFormat="1" applyFont="1" applyAlignment="1">
      <alignment/>
    </xf>
    <xf numFmtId="0" fontId="0" fillId="0" borderId="7" xfId="0" applyBorder="1" applyAlignment="1">
      <alignment/>
    </xf>
    <xf numFmtId="0" fontId="6" fillId="0" borderId="7" xfId="0" applyFont="1" applyBorder="1" applyAlignment="1">
      <alignment horizontal="center"/>
    </xf>
    <xf numFmtId="0" fontId="0" fillId="4" borderId="23" xfId="0" applyFill="1" applyBorder="1" applyAlignment="1">
      <alignment wrapText="1"/>
    </xf>
    <xf numFmtId="0" fontId="6" fillId="0" borderId="24" xfId="0" applyFont="1" applyBorder="1" applyAlignment="1">
      <alignment/>
    </xf>
    <xf numFmtId="0" fontId="0" fillId="0" borderId="22" xfId="0" applyBorder="1" applyAlignment="1">
      <alignment/>
    </xf>
    <xf numFmtId="0" fontId="0" fillId="8" borderId="7" xfId="0" applyFill="1" applyBorder="1" applyAlignment="1">
      <alignment/>
    </xf>
    <xf numFmtId="2" fontId="6" fillId="8" borderId="7" xfId="0" applyNumberFormat="1" applyFont="1" applyFill="1" applyBorder="1" applyAlignment="1">
      <alignment horizontal="center"/>
    </xf>
    <xf numFmtId="0" fontId="0" fillId="0" borderId="7" xfId="0" applyFill="1" applyBorder="1" applyAlignment="1">
      <alignment/>
    </xf>
    <xf numFmtId="2" fontId="6" fillId="0" borderId="7" xfId="0" applyNumberFormat="1" applyFont="1" applyBorder="1" applyAlignment="1">
      <alignment horizontal="center"/>
    </xf>
    <xf numFmtId="175" fontId="0" fillId="0" borderId="25" xfId="0" applyNumberFormat="1" applyFont="1" applyBorder="1" applyAlignment="1">
      <alignment horizontal="center"/>
    </xf>
    <xf numFmtId="186" fontId="0" fillId="0" borderId="26" xfId="21" applyNumberFormat="1" applyFont="1" applyBorder="1" applyAlignment="1">
      <alignment horizontal="center"/>
    </xf>
    <xf numFmtId="0" fontId="3" fillId="0" borderId="0" xfId="0" applyFont="1" applyAlignment="1">
      <alignment horizontal="right"/>
    </xf>
    <xf numFmtId="186" fontId="0" fillId="0" borderId="27" xfId="21" applyNumberFormat="1" applyFont="1" applyBorder="1" applyAlignment="1">
      <alignment horizontal="center"/>
    </xf>
    <xf numFmtId="186" fontId="0" fillId="0" borderId="8" xfId="21" applyNumberFormat="1" applyFont="1" applyBorder="1" applyAlignment="1">
      <alignment horizontal="center"/>
    </xf>
    <xf numFmtId="175" fontId="3" fillId="0" borderId="28" xfId="15" applyNumberFormat="1" applyFont="1" applyBorder="1" applyAlignment="1">
      <alignment horizontal="center"/>
    </xf>
    <xf numFmtId="186" fontId="3" fillId="0" borderId="27" xfId="21" applyNumberFormat="1" applyFont="1" applyBorder="1" applyAlignment="1">
      <alignment horizontal="center"/>
    </xf>
    <xf numFmtId="186" fontId="3" fillId="0" borderId="8" xfId="21" applyNumberFormat="1"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186" fontId="3" fillId="0" borderId="31" xfId="0" applyNumberFormat="1"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10" fontId="0" fillId="0" borderId="0" xfId="21" applyNumberFormat="1" applyFont="1" applyAlignment="1">
      <alignment/>
    </xf>
    <xf numFmtId="1" fontId="6" fillId="0" borderId="7" xfId="0" applyNumberFormat="1" applyFont="1" applyFill="1" applyBorder="1" applyAlignment="1">
      <alignment horizontal="center"/>
    </xf>
    <xf numFmtId="1" fontId="6" fillId="0" borderId="28" xfId="0" applyNumberFormat="1" applyFont="1" applyFill="1" applyBorder="1" applyAlignment="1">
      <alignment horizontal="center"/>
    </xf>
    <xf numFmtId="1" fontId="6" fillId="0" borderId="25" xfId="15" applyNumberFormat="1" applyFont="1" applyFill="1" applyBorder="1" applyAlignment="1">
      <alignment horizontal="center"/>
    </xf>
    <xf numFmtId="1" fontId="6" fillId="0" borderId="22" xfId="15" applyNumberFormat="1" applyFont="1" applyFill="1" applyBorder="1" applyAlignment="1">
      <alignment horizontal="center"/>
    </xf>
    <xf numFmtId="1" fontId="6" fillId="0" borderId="32" xfId="15" applyNumberFormat="1" applyFont="1" applyFill="1" applyBorder="1" applyAlignment="1">
      <alignment horizontal="center"/>
    </xf>
    <xf numFmtId="1" fontId="6" fillId="0" borderId="26" xfId="0" applyNumberFormat="1" applyFont="1" applyFill="1" applyBorder="1" applyAlignment="1">
      <alignment horizontal="center"/>
    </xf>
    <xf numFmtId="1" fontId="6" fillId="0" borderId="26" xfId="15" applyNumberFormat="1" applyFont="1" applyFill="1" applyBorder="1" applyAlignment="1">
      <alignment horizontal="center"/>
    </xf>
    <xf numFmtId="1" fontId="6" fillId="0" borderId="7" xfId="15" applyNumberFormat="1" applyFont="1" applyFill="1" applyBorder="1" applyAlignment="1">
      <alignment horizontal="center"/>
    </xf>
    <xf numFmtId="1" fontId="6" fillId="0" borderId="28" xfId="15" applyNumberFormat="1" applyFont="1" applyFill="1" applyBorder="1" applyAlignment="1">
      <alignment horizontal="center"/>
    </xf>
    <xf numFmtId="1" fontId="0" fillId="0" borderId="26" xfId="15" applyNumberFormat="1" applyFont="1" applyFill="1" applyBorder="1" applyAlignment="1">
      <alignment horizontal="center"/>
    </xf>
    <xf numFmtId="1" fontId="0" fillId="0" borderId="7" xfId="15" applyNumberFormat="1" applyFont="1" applyFill="1" applyBorder="1" applyAlignment="1">
      <alignment horizontal="center"/>
    </xf>
    <xf numFmtId="1" fontId="0" fillId="0" borderId="28" xfId="15" applyNumberFormat="1" applyFont="1" applyFill="1" applyBorder="1" applyAlignment="1">
      <alignment horizontal="center"/>
    </xf>
    <xf numFmtId="1" fontId="0" fillId="0" borderId="26" xfId="0" applyNumberFormat="1" applyBorder="1" applyAlignment="1">
      <alignment/>
    </xf>
    <xf numFmtId="1" fontId="0" fillId="0" borderId="7" xfId="0" applyNumberFormat="1" applyBorder="1" applyAlignment="1">
      <alignment/>
    </xf>
    <xf numFmtId="1" fontId="0" fillId="0" borderId="28" xfId="0" applyNumberFormat="1" applyBorder="1" applyAlignment="1">
      <alignment/>
    </xf>
    <xf numFmtId="1" fontId="6" fillId="0" borderId="26" xfId="0" applyNumberFormat="1" applyFont="1" applyBorder="1" applyAlignment="1">
      <alignment horizontal="center"/>
    </xf>
    <xf numFmtId="1" fontId="6" fillId="0" borderId="7" xfId="0" applyNumberFormat="1" applyFont="1" applyBorder="1" applyAlignment="1">
      <alignment horizontal="center"/>
    </xf>
    <xf numFmtId="1" fontId="6" fillId="0" borderId="28" xfId="0" applyNumberFormat="1" applyFont="1" applyBorder="1" applyAlignment="1">
      <alignment horizontal="center"/>
    </xf>
    <xf numFmtId="1" fontId="6" fillId="0" borderId="29" xfId="0" applyNumberFormat="1" applyFont="1" applyBorder="1" applyAlignment="1">
      <alignment horizontal="center"/>
    </xf>
    <xf numFmtId="1" fontId="6" fillId="0" borderId="30" xfId="0" applyNumberFormat="1" applyFont="1" applyBorder="1" applyAlignment="1">
      <alignment horizontal="center"/>
    </xf>
    <xf numFmtId="1" fontId="6" fillId="0" borderId="33" xfId="0" applyNumberFormat="1" applyFont="1" applyBorder="1" applyAlignment="1">
      <alignment horizontal="center"/>
    </xf>
    <xf numFmtId="0" fontId="7" fillId="0" borderId="34" xfId="0" applyFont="1" applyBorder="1" applyAlignment="1">
      <alignment horizontal="center"/>
    </xf>
    <xf numFmtId="1" fontId="6" fillId="0" borderId="35" xfId="15" applyNumberFormat="1" applyFont="1" applyFill="1" applyBorder="1" applyAlignment="1">
      <alignment horizontal="center"/>
    </xf>
    <xf numFmtId="1" fontId="6" fillId="0" borderId="36" xfId="0" applyNumberFormat="1" applyFont="1" applyFill="1" applyBorder="1" applyAlignment="1">
      <alignment horizontal="center"/>
    </xf>
    <xf numFmtId="1" fontId="6" fillId="0" borderId="36" xfId="15" applyNumberFormat="1" applyFont="1" applyFill="1" applyBorder="1" applyAlignment="1">
      <alignment horizontal="center"/>
    </xf>
    <xf numFmtId="1" fontId="6" fillId="0" borderId="36" xfId="0" applyNumberFormat="1" applyFont="1" applyFill="1" applyBorder="1" applyAlignment="1">
      <alignment/>
    </xf>
    <xf numFmtId="1" fontId="0" fillId="0" borderId="36" xfId="15" applyNumberFormat="1" applyFont="1" applyFill="1" applyBorder="1" applyAlignment="1">
      <alignment horizontal="center"/>
    </xf>
    <xf numFmtId="1" fontId="0" fillId="0" borderId="36" xfId="0" applyNumberFormat="1" applyBorder="1" applyAlignment="1">
      <alignment/>
    </xf>
    <xf numFmtId="1" fontId="6" fillId="0" borderId="36" xfId="0" applyNumberFormat="1" applyFont="1" applyBorder="1" applyAlignment="1">
      <alignment horizontal="center"/>
    </xf>
    <xf numFmtId="1" fontId="6" fillId="0" borderId="37" xfId="0" applyNumberFormat="1" applyFont="1" applyBorder="1" applyAlignment="1">
      <alignment horizontal="center"/>
    </xf>
    <xf numFmtId="9" fontId="0" fillId="0" borderId="0" xfId="21" applyAlignment="1">
      <alignment/>
    </xf>
    <xf numFmtId="0" fontId="17" fillId="0" borderId="10" xfId="0" applyFont="1" applyBorder="1" applyAlignment="1">
      <alignment/>
    </xf>
    <xf numFmtId="0" fontId="6" fillId="0" borderId="16" xfId="0" applyFont="1" applyBorder="1" applyAlignment="1">
      <alignment horizont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9" fillId="0" borderId="31" xfId="0" applyFont="1" applyBorder="1" applyAlignment="1">
      <alignment/>
    </xf>
    <xf numFmtId="0" fontId="10" fillId="0" borderId="13" xfId="0" applyFont="1" applyBorder="1" applyAlignment="1">
      <alignment horizontal="right"/>
    </xf>
    <xf numFmtId="0" fontId="0" fillId="0" borderId="12" xfId="0" applyBorder="1" applyAlignment="1">
      <alignment/>
    </xf>
    <xf numFmtId="2" fontId="0" fillId="0" borderId="13" xfId="0" applyNumberFormat="1" applyBorder="1" applyAlignment="1">
      <alignment/>
    </xf>
    <xf numFmtId="0" fontId="1" fillId="0" borderId="12" xfId="0" applyFont="1" applyFill="1" applyBorder="1" applyAlignment="1">
      <alignment/>
    </xf>
    <xf numFmtId="0" fontId="0" fillId="0" borderId="12" xfId="0" applyFont="1" applyFill="1" applyBorder="1" applyAlignment="1">
      <alignment/>
    </xf>
    <xf numFmtId="0" fontId="1" fillId="0" borderId="12" xfId="0" applyFont="1" applyBorder="1" applyAlignment="1">
      <alignment horizontal="left"/>
    </xf>
    <xf numFmtId="0" fontId="1" fillId="0" borderId="12" xfId="0" applyFont="1" applyBorder="1" applyAlignment="1">
      <alignment/>
    </xf>
    <xf numFmtId="0" fontId="0" fillId="0" borderId="12" xfId="0" applyFont="1" applyBorder="1" applyAlignment="1">
      <alignment/>
    </xf>
    <xf numFmtId="0" fontId="0" fillId="0" borderId="12" xfId="0" applyFont="1" applyBorder="1" applyAlignment="1">
      <alignment horizontal="left"/>
    </xf>
    <xf numFmtId="185" fontId="0" fillId="0" borderId="13" xfId="0" applyNumberFormat="1" applyBorder="1" applyAlignment="1">
      <alignment/>
    </xf>
    <xf numFmtId="0" fontId="0" fillId="0" borderId="13" xfId="0" applyBorder="1" applyAlignment="1">
      <alignment/>
    </xf>
    <xf numFmtId="0" fontId="6" fillId="0" borderId="14" xfId="0" applyFont="1" applyBorder="1" applyAlignment="1">
      <alignment/>
    </xf>
    <xf numFmtId="0" fontId="6" fillId="0" borderId="1" xfId="0" applyFont="1" applyBorder="1" applyAlignment="1">
      <alignment horizontal="center"/>
    </xf>
    <xf numFmtId="0" fontId="6" fillId="0" borderId="38" xfId="0" applyFont="1" applyBorder="1" applyAlignment="1">
      <alignment/>
    </xf>
    <xf numFmtId="0" fontId="0" fillId="0" borderId="0" xfId="0" applyNumberFormat="1" applyFont="1" applyAlignment="1">
      <alignment horizontal="left"/>
    </xf>
    <xf numFmtId="0" fontId="0" fillId="0" borderId="0" xfId="0" applyNumberFormat="1" applyFont="1" applyAlignment="1">
      <alignment/>
    </xf>
    <xf numFmtId="175" fontId="6" fillId="0" borderId="39" xfId="0" applyNumberFormat="1" applyFont="1" applyBorder="1" applyAlignment="1">
      <alignment/>
    </xf>
    <xf numFmtId="0" fontId="6" fillId="0" borderId="39" xfId="0" applyFont="1" applyBorder="1" applyAlignment="1">
      <alignment/>
    </xf>
    <xf numFmtId="0" fontId="10" fillId="0" borderId="39" xfId="0" applyFont="1" applyBorder="1" applyAlignment="1">
      <alignment/>
    </xf>
    <xf numFmtId="0" fontId="10" fillId="0" borderId="36" xfId="0" applyNumberFormat="1" applyFont="1" applyBorder="1" applyAlignment="1">
      <alignment/>
    </xf>
    <xf numFmtId="0" fontId="6" fillId="0" borderId="40" xfId="0" applyFont="1" applyBorder="1" applyAlignment="1">
      <alignment/>
    </xf>
    <xf numFmtId="0" fontId="6" fillId="0" borderId="12" xfId="0" applyNumberFormat="1" applyFont="1" applyBorder="1" applyAlignment="1">
      <alignment/>
    </xf>
    <xf numFmtId="175" fontId="6" fillId="0" borderId="0" xfId="0" applyNumberFormat="1" applyFont="1" applyBorder="1" applyAlignment="1">
      <alignment/>
    </xf>
    <xf numFmtId="9" fontId="6" fillId="0" borderId="0" xfId="21" applyFont="1" applyBorder="1" applyAlignment="1">
      <alignment/>
    </xf>
    <xf numFmtId="0" fontId="6" fillId="0" borderId="0" xfId="0" applyFont="1" applyBorder="1" applyAlignment="1">
      <alignment/>
    </xf>
    <xf numFmtId="9" fontId="6" fillId="0" borderId="13" xfId="21" applyFont="1" applyBorder="1" applyAlignment="1">
      <alignment/>
    </xf>
    <xf numFmtId="0" fontId="0" fillId="0" borderId="12" xfId="0" applyNumberFormat="1" applyFont="1" applyBorder="1" applyAlignment="1">
      <alignment/>
    </xf>
    <xf numFmtId="0" fontId="0" fillId="0" borderId="12" xfId="0" applyNumberFormat="1" applyFont="1" applyBorder="1" applyAlignment="1">
      <alignment horizontal="left"/>
    </xf>
    <xf numFmtId="1" fontId="6" fillId="0" borderId="0" xfId="21" applyNumberFormat="1" applyFont="1" applyBorder="1" applyAlignment="1">
      <alignment/>
    </xf>
    <xf numFmtId="0" fontId="0" fillId="0" borderId="36" xfId="0" applyNumberFormat="1" applyFont="1" applyBorder="1" applyAlignment="1">
      <alignment/>
    </xf>
    <xf numFmtId="0" fontId="10" fillId="0" borderId="40" xfId="0" applyFont="1" applyBorder="1" applyAlignment="1">
      <alignment/>
    </xf>
    <xf numFmtId="0" fontId="0" fillId="0" borderId="4" xfId="0" applyFill="1" applyBorder="1" applyAlignment="1">
      <alignment horizontal="center" wrapText="1"/>
    </xf>
    <xf numFmtId="0" fontId="4" fillId="0" borderId="0" xfId="0" applyFont="1" applyFill="1" applyAlignment="1">
      <alignment/>
    </xf>
    <xf numFmtId="1" fontId="2" fillId="0" borderId="0" xfId="0" applyNumberFormat="1" applyFont="1" applyFill="1" applyAlignment="1">
      <alignment/>
    </xf>
    <xf numFmtId="0" fontId="3" fillId="0" borderId="0" xfId="0" applyFont="1" applyFill="1" applyAlignment="1">
      <alignment/>
    </xf>
    <xf numFmtId="173" fontId="3" fillId="0" borderId="0" xfId="0" applyNumberFormat="1" applyFont="1" applyFill="1" applyAlignment="1">
      <alignment/>
    </xf>
    <xf numFmtId="173" fontId="3" fillId="0" borderId="0" xfId="17" applyNumberFormat="1" applyFont="1" applyFill="1" applyAlignment="1">
      <alignment/>
    </xf>
    <xf numFmtId="173" fontId="3" fillId="0" borderId="0" xfId="0" applyNumberFormat="1" applyFont="1" applyFill="1" applyAlignment="1">
      <alignment/>
    </xf>
    <xf numFmtId="173" fontId="12" fillId="0" borderId="0" xfId="0" applyNumberFormat="1" applyFont="1" applyFill="1" applyAlignment="1">
      <alignment/>
    </xf>
    <xf numFmtId="173" fontId="14" fillId="0" borderId="0" xfId="0" applyNumberFormat="1" applyFont="1" applyFill="1" applyAlignment="1">
      <alignment/>
    </xf>
    <xf numFmtId="0" fontId="0" fillId="7" borderId="0" xfId="0" applyFont="1" applyFill="1" applyAlignment="1">
      <alignment/>
    </xf>
    <xf numFmtId="0" fontId="1" fillId="0" borderId="7" xfId="0" applyFont="1" applyFill="1" applyBorder="1" applyAlignment="1">
      <alignment/>
    </xf>
    <xf numFmtId="175" fontId="11" fillId="0" borderId="0" xfId="15" applyNumberFormat="1" applyFont="1" applyFill="1" applyAlignment="1">
      <alignment/>
    </xf>
    <xf numFmtId="173" fontId="11" fillId="0" borderId="0" xfId="0" applyNumberFormat="1" applyFont="1" applyFill="1" applyAlignment="1">
      <alignment/>
    </xf>
    <xf numFmtId="175" fontId="13" fillId="0" borderId="0" xfId="15" applyNumberFormat="1" applyFont="1" applyFill="1" applyAlignment="1">
      <alignment/>
    </xf>
    <xf numFmtId="173" fontId="13" fillId="0" borderId="0" xfId="0" applyNumberFormat="1" applyFont="1" applyFill="1" applyAlignment="1">
      <alignment/>
    </xf>
    <xf numFmtId="173" fontId="15" fillId="0" borderId="0" xfId="17" applyNumberFormat="1" applyFont="1" applyFill="1" applyAlignment="1">
      <alignment/>
    </xf>
    <xf numFmtId="1" fontId="0" fillId="0" borderId="0" xfId="0" applyNumberFormat="1" applyFont="1" applyAlignment="1">
      <alignment/>
    </xf>
    <xf numFmtId="0" fontId="1" fillId="0" borderId="41" xfId="0" applyFont="1" applyFill="1" applyBorder="1" applyAlignment="1">
      <alignment wrapText="1"/>
    </xf>
    <xf numFmtId="2" fontId="6" fillId="0" borderId="7" xfId="0" applyNumberFormat="1" applyFont="1" applyFill="1" applyBorder="1" applyAlignment="1">
      <alignment horizontal="center"/>
    </xf>
    <xf numFmtId="0" fontId="6" fillId="8" borderId="7" xfId="0" applyFont="1" applyFill="1" applyBorder="1" applyAlignment="1">
      <alignment horizontal="center"/>
    </xf>
    <xf numFmtId="173" fontId="1" fillId="4" borderId="0" xfId="17" applyNumberFormat="1" applyFont="1" applyFill="1" applyAlignment="1">
      <alignment horizontal="left"/>
    </xf>
    <xf numFmtId="173" fontId="1" fillId="4" borderId="0" xfId="17" applyNumberFormat="1" applyFont="1" applyFill="1" applyAlignment="1">
      <alignment/>
    </xf>
    <xf numFmtId="173" fontId="1" fillId="4" borderId="0" xfId="17" applyNumberFormat="1" applyFont="1" applyFill="1" applyAlignment="1">
      <alignment horizontal="right"/>
    </xf>
    <xf numFmtId="173" fontId="3" fillId="5" borderId="0" xfId="0" applyNumberFormat="1" applyFont="1" applyFill="1" applyAlignment="1">
      <alignment/>
    </xf>
    <xf numFmtId="173" fontId="3" fillId="4" borderId="0" xfId="0" applyNumberFormat="1" applyFont="1" applyFill="1" applyAlignment="1">
      <alignment/>
    </xf>
    <xf numFmtId="0" fontId="1" fillId="9" borderId="0" xfId="0" applyFont="1" applyFill="1" applyAlignment="1">
      <alignment/>
    </xf>
    <xf numFmtId="3" fontId="1" fillId="9" borderId="0" xfId="0" applyNumberFormat="1" applyFont="1" applyFill="1" applyAlignment="1">
      <alignment/>
    </xf>
    <xf numFmtId="173" fontId="1" fillId="9" borderId="0" xfId="0" applyNumberFormat="1" applyFont="1" applyFill="1" applyAlignment="1">
      <alignment/>
    </xf>
    <xf numFmtId="0" fontId="0" fillId="0" borderId="0" xfId="0" applyFont="1" applyAlignment="1">
      <alignment horizontal="left" wrapText="1"/>
    </xf>
    <xf numFmtId="171" fontId="1" fillId="0" borderId="0" xfId="15" applyFont="1" applyFill="1" applyAlignment="1">
      <alignment/>
    </xf>
    <xf numFmtId="0" fontId="16" fillId="0" borderId="0" xfId="0" applyFont="1" applyAlignment="1">
      <alignment horizontal="left"/>
    </xf>
    <xf numFmtId="186" fontId="16" fillId="0" borderId="0" xfId="21" applyNumberFormat="1" applyFont="1" applyAlignment="1">
      <alignment/>
    </xf>
    <xf numFmtId="173" fontId="5" fillId="0" borderId="0" xfId="0" applyNumberFormat="1" applyFont="1" applyFill="1" applyAlignment="1">
      <alignment/>
    </xf>
    <xf numFmtId="0" fontId="0" fillId="6" borderId="3" xfId="0" applyFill="1" applyBorder="1" applyAlignment="1">
      <alignment horizontal="center" wrapText="1"/>
    </xf>
    <xf numFmtId="186" fontId="16" fillId="0" borderId="0" xfId="21" applyNumberFormat="1" applyFont="1" applyAlignment="1">
      <alignment horizontal="center"/>
    </xf>
    <xf numFmtId="0" fontId="15" fillId="0" borderId="0" xfId="0" applyFont="1" applyAlignment="1">
      <alignment/>
    </xf>
    <xf numFmtId="0" fontId="16" fillId="0" borderId="0" xfId="0" applyFont="1" applyAlignment="1">
      <alignment/>
    </xf>
    <xf numFmtId="0" fontId="0" fillId="0" borderId="6" xfId="0" applyBorder="1" applyAlignment="1">
      <alignment horizontal="center" wrapText="1"/>
    </xf>
    <xf numFmtId="173" fontId="16" fillId="0" borderId="0" xfId="0" applyNumberFormat="1" applyFont="1" applyAlignment="1">
      <alignment/>
    </xf>
    <xf numFmtId="0" fontId="0" fillId="3" borderId="4" xfId="0" applyFill="1" applyBorder="1" applyAlignment="1">
      <alignment horizontal="center" wrapText="1"/>
    </xf>
    <xf numFmtId="173" fontId="1" fillId="10" borderId="0" xfId="17" applyNumberFormat="1" applyFont="1" applyFill="1" applyAlignment="1">
      <alignment/>
    </xf>
    <xf numFmtId="0" fontId="0" fillId="10" borderId="0" xfId="0" applyFill="1" applyAlignment="1">
      <alignment/>
    </xf>
    <xf numFmtId="173" fontId="2" fillId="0" borderId="0" xfId="0" applyNumberFormat="1" applyFont="1" applyAlignment="1">
      <alignment/>
    </xf>
    <xf numFmtId="173" fontId="0" fillId="0" borderId="0" xfId="17" applyNumberFormat="1" applyFont="1" applyAlignment="1">
      <alignment/>
    </xf>
    <xf numFmtId="0" fontId="0" fillId="0" borderId="0" xfId="0" applyFont="1" applyAlignment="1">
      <alignment wrapText="1"/>
    </xf>
    <xf numFmtId="185" fontId="0" fillId="0" borderId="0" xfId="0" applyNumberFormat="1" applyFont="1" applyAlignment="1">
      <alignment wrapText="1"/>
    </xf>
    <xf numFmtId="0" fontId="1" fillId="0" borderId="7" xfId="0" applyFont="1" applyBorder="1" applyAlignment="1">
      <alignment wrapText="1"/>
    </xf>
    <xf numFmtId="0" fontId="0" fillId="0" borderId="7" xfId="0" applyFont="1" applyBorder="1" applyAlignment="1">
      <alignment horizontal="left" vertical="top" wrapText="1"/>
    </xf>
    <xf numFmtId="0" fontId="0" fillId="0" borderId="7" xfId="0" applyFont="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xf numFmtId="1" fontId="0" fillId="0" borderId="7" xfId="0" applyNumberFormat="1" applyFont="1" applyBorder="1" applyAlignment="1">
      <alignment vertical="top" wrapText="1"/>
    </xf>
    <xf numFmtId="0" fontId="1" fillId="0" borderId="7" xfId="0" applyFont="1" applyFill="1" applyBorder="1" applyAlignment="1">
      <alignment horizontal="left" vertical="top" wrapText="1" indent="1"/>
    </xf>
    <xf numFmtId="0" fontId="1" fillId="0" borderId="7" xfId="0" applyFont="1" applyBorder="1" applyAlignment="1">
      <alignment horizontal="left" vertical="top" wrapText="1" indent="1"/>
    </xf>
    <xf numFmtId="0" fontId="0" fillId="0" borderId="0" xfId="0" applyAlignment="1">
      <alignment vertical="top"/>
    </xf>
    <xf numFmtId="0" fontId="2" fillId="0" borderId="0" xfId="0" applyFont="1" applyAlignment="1">
      <alignment vertical="top"/>
    </xf>
    <xf numFmtId="0" fontId="1" fillId="0" borderId="7" xfId="0" applyFont="1" applyBorder="1" applyAlignment="1">
      <alignment horizontal="left" vertical="top" wrapText="1" indent="2"/>
    </xf>
    <xf numFmtId="0" fontId="0" fillId="0" borderId="7" xfId="0" applyFont="1" applyFill="1" applyBorder="1" applyAlignment="1">
      <alignment vertical="top" wrapText="1"/>
    </xf>
    <xf numFmtId="0" fontId="0" fillId="0" borderId="7" xfId="0" applyFill="1" applyBorder="1" applyAlignment="1">
      <alignment vertical="top" wrapText="1"/>
    </xf>
    <xf numFmtId="185" fontId="0" fillId="0" borderId="0" xfId="0" applyNumberFormat="1" applyFont="1" applyFill="1" applyAlignment="1">
      <alignment/>
    </xf>
    <xf numFmtId="185" fontId="1" fillId="0" borderId="0" xfId="0" applyNumberFormat="1" applyFont="1" applyFill="1" applyAlignment="1">
      <alignment/>
    </xf>
    <xf numFmtId="0" fontId="0" fillId="0" borderId="0" xfId="0" applyFont="1" applyAlignment="1">
      <alignment horizontal="left" wrapText="1"/>
    </xf>
    <xf numFmtId="0" fontId="0" fillId="4" borderId="23" xfId="0" applyFill="1" applyBorder="1" applyAlignment="1">
      <alignment wrapText="1"/>
    </xf>
    <xf numFmtId="0" fontId="0" fillId="4" borderId="9" xfId="0" applyFill="1" applyBorder="1" applyAlignment="1">
      <alignment wrapText="1"/>
    </xf>
    <xf numFmtId="0" fontId="0" fillId="0" borderId="42" xfId="0" applyBorder="1" applyAlignment="1">
      <alignment horizontal="center"/>
    </xf>
    <xf numFmtId="0" fontId="0" fillId="0" borderId="0" xfId="0" applyAlignment="1">
      <alignment/>
    </xf>
    <xf numFmtId="0" fontId="2"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vertical="top" wrapText="1"/>
    </xf>
    <xf numFmtId="0" fontId="1" fillId="10" borderId="36" xfId="0" applyFont="1" applyFill="1" applyBorder="1" applyAlignment="1">
      <alignment wrapText="1"/>
    </xf>
    <xf numFmtId="0" fontId="0" fillId="0" borderId="39" xfId="0" applyBorder="1" applyAlignment="1">
      <alignment wrapText="1"/>
    </xf>
    <xf numFmtId="0" fontId="0" fillId="0" borderId="40" xfId="0" applyBorder="1" applyAlignment="1">
      <alignment wrapText="1"/>
    </xf>
    <xf numFmtId="0" fontId="1" fillId="10" borderId="36" xfId="0" applyFont="1" applyFill="1" applyBorder="1" applyAlignment="1">
      <alignment horizontal="left" wrapText="1"/>
    </xf>
    <xf numFmtId="0" fontId="0" fillId="0" borderId="0" xfId="0" applyAlignment="1">
      <alignment vertical="top"/>
    </xf>
    <xf numFmtId="0" fontId="1" fillId="10" borderId="7" xfId="0" applyFont="1" applyFill="1" applyBorder="1" applyAlignment="1">
      <alignment wrapText="1"/>
    </xf>
    <xf numFmtId="0" fontId="0" fillId="0" borderId="7" xfId="0" applyBorder="1" applyAlignment="1">
      <alignment wrapText="1"/>
    </xf>
    <xf numFmtId="0" fontId="17" fillId="0" borderId="0" xfId="0" applyFont="1" applyAlignment="1">
      <alignment/>
    </xf>
    <xf numFmtId="0" fontId="0" fillId="10" borderId="39" xfId="0" applyFill="1" applyBorder="1" applyAlignment="1">
      <alignment wrapText="1"/>
    </xf>
    <xf numFmtId="0" fontId="0" fillId="10" borderId="40" xfId="0" applyFill="1" applyBorder="1" applyAlignment="1">
      <alignment wrapText="1"/>
    </xf>
    <xf numFmtId="0" fontId="0" fillId="10" borderId="7" xfId="0" applyFill="1" applyBorder="1" applyAlignment="1">
      <alignment wrapText="1"/>
    </xf>
    <xf numFmtId="0" fontId="0" fillId="0" borderId="12"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Proportion of FY05 Budget by Task</a:t>
            </a:r>
          </a:p>
        </c:rich>
      </c:tx>
      <c:layout/>
      <c:spPr>
        <a:noFill/>
        <a:ln>
          <a:noFill/>
        </a:ln>
      </c:spPr>
    </c:title>
    <c:plotArea>
      <c:layout/>
      <c:pieChart>
        <c:varyColors val="1"/>
        <c:ser>
          <c:idx val="0"/>
          <c:order val="0"/>
          <c:tx>
            <c:strRef>
              <c:f>'Billings FY 07'!$R$11</c:f>
              <c:strCache>
                <c:ptCount val="1"/>
                <c:pt idx="0">
                  <c:v>% $'s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dLbls>
          <c:cat>
            <c:strRef>
              <c:f>'Billings FY 07'!$P$12:$P$22</c:f>
              <c:strCache/>
            </c:strRef>
          </c:cat>
          <c:val>
            <c:numRef>
              <c:f>'Billings FY 07'!$R$12:$R$22</c:f>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257175</xdr:colOff>
      <xdr:row>6</xdr:row>
      <xdr:rowOff>28575</xdr:rowOff>
    </xdr:from>
    <xdr:to>
      <xdr:col>42</xdr:col>
      <xdr:colOff>247650</xdr:colOff>
      <xdr:row>50</xdr:row>
      <xdr:rowOff>57150</xdr:rowOff>
    </xdr:to>
    <xdr:graphicFrame>
      <xdr:nvGraphicFramePr>
        <xdr:cNvPr id="1" name="Chart 4"/>
        <xdr:cNvGraphicFramePr/>
      </xdr:nvGraphicFramePr>
      <xdr:xfrm>
        <a:off x="25250775" y="1171575"/>
        <a:ext cx="6086475"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workbookViewId="0" topLeftCell="A7">
      <selection activeCell="A1" sqref="A1:IV16384"/>
    </sheetView>
  </sheetViews>
  <sheetFormatPr defaultColWidth="9.140625" defaultRowHeight="12.75"/>
  <cols>
    <col min="1" max="1" width="52.7109375" style="0" customWidth="1"/>
    <col min="2" max="2" width="12.421875" style="0" customWidth="1"/>
    <col min="3" max="3" width="14.8515625" style="0" customWidth="1"/>
    <col min="4" max="4" width="11.140625" style="0" bestFit="1" customWidth="1"/>
    <col min="5" max="5" width="12.140625" style="0" customWidth="1"/>
    <col min="6" max="16384" width="8.8515625" style="0" customWidth="1"/>
  </cols>
  <sheetData>
    <row r="1" spans="1:3" ht="12.75">
      <c r="A1" s="1" t="s">
        <v>124</v>
      </c>
      <c r="B1" s="1" t="s">
        <v>28</v>
      </c>
      <c r="C1" s="1" t="s">
        <v>29</v>
      </c>
    </row>
    <row r="3" spans="1:3" ht="12.75">
      <c r="A3" t="str">
        <f>' FY07_09 Detailed  Budget '!A14</f>
        <v>1. Develop Work Plans / Interact w Prog. Entities (all tasks)</v>
      </c>
      <c r="B3" s="177">
        <f>' FY07_09 Detailed  Budget '!AD22</f>
        <v>217874.70750635854</v>
      </c>
      <c r="C3" s="61">
        <f>' FY07_09 Detailed  Budget '!AE22</f>
        <v>0.22834352340105085</v>
      </c>
    </row>
    <row r="4" spans="1:3" ht="12.75">
      <c r="A4" t="str">
        <f>' FY07_09 Detailed  Budget '!A24</f>
        <v>2. Inventory existing data relevant to questions</v>
      </c>
      <c r="B4" s="177">
        <f>' FY07_09 Detailed  Budget '!AD29</f>
        <v>44099.93772295762</v>
      </c>
      <c r="C4" s="61">
        <f>' FY07_09 Detailed  Budget '!AE29</f>
        <v>0.04621892681661167</v>
      </c>
    </row>
    <row r="5" spans="1:3" ht="12.75">
      <c r="A5" t="str">
        <f>' FY07_09 Detailed  Budget '!A31</f>
        <v>3. Organize subset of data into accessible form</v>
      </c>
      <c r="B5" s="177">
        <f>' FY07_09 Detailed  Budget '!AD36</f>
        <v>32843.31787120752</v>
      </c>
      <c r="C5" s="61">
        <f>' FY07_09 Detailed  Budget '!AE36</f>
        <v>0.034421429677299074</v>
      </c>
    </row>
    <row r="6" spans="1:3" ht="12.75">
      <c r="A6" t="str">
        <f>' FY07_09 Detailed  Budget '!A38</f>
        <v>4. Evaluate ability to answer key questions with existing data </v>
      </c>
      <c r="B6" s="177">
        <f>' FY07_09 Detailed  Budget '!AD44</f>
        <v>87287.86415135315</v>
      </c>
      <c r="C6" s="61">
        <f>' FY07_09 Detailed  Budget '!AE44</f>
        <v>0.0914820204630249</v>
      </c>
    </row>
    <row r="7" spans="1:3" ht="12.75">
      <c r="A7" t="str">
        <f>' FY07_09 Detailed  Budget '!A46</f>
        <v>5. Collaborative monitoring program design </v>
      </c>
      <c r="B7" s="177">
        <f>' FY07_09 Detailed  Budget '!AD53</f>
        <v>450856.88915361895</v>
      </c>
      <c r="C7" s="61">
        <f>' FY07_09 Detailed  Budget '!AE53</f>
        <v>0.4725204306515011</v>
      </c>
    </row>
    <row r="8" spans="1:3" ht="12.75">
      <c r="A8" t="str">
        <f>' FY07_09 Detailed  Budget '!A55</f>
        <v>6. Multi-agency implementation of monitoring programs.</v>
      </c>
      <c r="B8" s="177">
        <f>' FY07_09 Detailed  Budget '!AD58</f>
        <v>87241.33832161805</v>
      </c>
      <c r="C8" s="61">
        <f>' FY07_09 Detailed  Budget '!AE58</f>
        <v>0.09143325908079535</v>
      </c>
    </row>
    <row r="9" spans="1:3" ht="12.75">
      <c r="A9" t="str">
        <f>' FY07_09 Detailed  Budget '!A60</f>
        <v>7. Multi-agency evaluation of results of new monitoring pgms.</v>
      </c>
      <c r="B9" s="177">
        <f>' FY07_09 Detailed  Budget '!AD64</f>
        <v>33949.162588774736</v>
      </c>
      <c r="C9" s="61">
        <f>' FY07_09 Detailed  Budget '!AE64</f>
        <v>0.03558040990971714</v>
      </c>
    </row>
    <row r="11" spans="1:3" ht="12.75">
      <c r="A11" s="1" t="s">
        <v>110</v>
      </c>
      <c r="B11" s="177">
        <f>SUM(B3:B10)</f>
        <v>954153.2173158885</v>
      </c>
      <c r="C11" s="62">
        <f>SUM(C3:C10)</f>
        <v>1.0000000000000002</v>
      </c>
    </row>
    <row r="14" spans="2:5" ht="12.75">
      <c r="B14" s="178" t="s">
        <v>164</v>
      </c>
      <c r="C14" s="178" t="s">
        <v>0</v>
      </c>
      <c r="D14" s="178" t="s">
        <v>110</v>
      </c>
      <c r="E14" s="1" t="s">
        <v>29</v>
      </c>
    </row>
    <row r="15" spans="2:4" ht="12.75">
      <c r="B15" s="178"/>
      <c r="C15" s="178"/>
      <c r="D15" s="178"/>
    </row>
    <row r="16" spans="1:5" ht="12.75">
      <c r="A16" t="s">
        <v>126</v>
      </c>
      <c r="B16" s="2">
        <f>SUM(' FY07_09 Detailed  Budget '!B67:F67)</f>
        <v>187746.2</v>
      </c>
      <c r="C16" s="2">
        <f>SUM(' FY07_09 Detailed  Budget '!B76:F76)</f>
        <v>19923</v>
      </c>
      <c r="D16" s="2">
        <f>+B16+C16</f>
        <v>207669.2</v>
      </c>
      <c r="E16" s="61">
        <f>D16/$D$35</f>
        <v>0.21764308223215303</v>
      </c>
    </row>
    <row r="17" spans="1:5" ht="12.75">
      <c r="A17" t="s">
        <v>139</v>
      </c>
      <c r="B17" s="2">
        <f>+' FY07_09 Detailed  Budget '!G67</f>
        <v>86132.25</v>
      </c>
      <c r="C17" s="328">
        <f>' FY07_09 Detailed  Budget '!G76</f>
        <v>7590.192</v>
      </c>
      <c r="D17" s="2">
        <f aca="true" t="shared" si="0" ref="D17:D31">+B17+C17</f>
        <v>93722.442</v>
      </c>
      <c r="E17" s="61">
        <f aca="true" t="shared" si="1" ref="E17:E31">D17/$D$35</f>
        <v>0.09822371902624073</v>
      </c>
    </row>
    <row r="18" spans="1:5" ht="12.75">
      <c r="A18" t="s">
        <v>140</v>
      </c>
      <c r="B18" s="2">
        <f>+' FY07_09 Detailed  Budget '!H67</f>
        <v>94568.46288287999</v>
      </c>
      <c r="C18" s="2">
        <f>+' FY07_09 Detailed  Budget '!H76</f>
        <v>9134.616</v>
      </c>
      <c r="D18" s="2">
        <f t="shared" si="0"/>
        <v>103703.07888287999</v>
      </c>
      <c r="E18" s="61">
        <f t="shared" si="1"/>
        <v>0.10868370333700954</v>
      </c>
    </row>
    <row r="19" spans="1:5" ht="12.75">
      <c r="A19" t="s">
        <v>141</v>
      </c>
      <c r="B19" s="2">
        <f>+' FY07_09 Detailed  Budget '!I67</f>
        <v>75290.85</v>
      </c>
      <c r="C19" s="2">
        <f>+' FY07_09 Detailed  Budget '!I76</f>
        <v>7590.192</v>
      </c>
      <c r="D19" s="2">
        <f t="shared" si="0"/>
        <v>82881.042</v>
      </c>
      <c r="E19" s="61">
        <f t="shared" si="1"/>
        <v>0.08686163109162326</v>
      </c>
    </row>
    <row r="20" spans="1:5" ht="12.75">
      <c r="A20" t="s">
        <v>30</v>
      </c>
      <c r="B20" s="2">
        <v>0</v>
      </c>
      <c r="C20" s="2">
        <v>0</v>
      </c>
      <c r="D20" s="2">
        <f t="shared" si="0"/>
        <v>0</v>
      </c>
      <c r="E20" s="61">
        <f t="shared" si="1"/>
        <v>0</v>
      </c>
    </row>
    <row r="21" spans="1:5" ht="12.75">
      <c r="A21" t="s">
        <v>143</v>
      </c>
      <c r="B21" s="2">
        <f>+' FY07_09 Detailed  Budget '!J67</f>
        <v>104311.12</v>
      </c>
      <c r="C21" s="2">
        <f>+' FY07_09 Detailed  Budget '!J76</f>
        <v>0</v>
      </c>
      <c r="D21" s="2">
        <f t="shared" si="0"/>
        <v>104311.12</v>
      </c>
      <c r="E21" s="61">
        <f t="shared" si="1"/>
        <v>0.10932094729448556</v>
      </c>
    </row>
    <row r="22" spans="1:5" ht="12.75">
      <c r="A22" t="s">
        <v>338</v>
      </c>
      <c r="B22" s="2">
        <f>' FY07_09 Detailed  Budget '!K67</f>
        <v>12800</v>
      </c>
      <c r="C22" s="2">
        <f>' FY07_09 Detailed  Budget '!K76</f>
        <v>4618.272</v>
      </c>
      <c r="D22" s="2">
        <f>+B22+C22</f>
        <v>17418.272</v>
      </c>
      <c r="E22" s="61">
        <f t="shared" si="1"/>
        <v>0.018254832229516987</v>
      </c>
    </row>
    <row r="23" spans="1:5" ht="12.75">
      <c r="A23" t="s">
        <v>31</v>
      </c>
      <c r="B23" s="2">
        <f>+' FY07_09 Detailed  Budget '!L67</f>
        <v>12800</v>
      </c>
      <c r="C23" s="2">
        <f>+' FY07_09 Detailed  Budget '!L76</f>
        <v>4618.272</v>
      </c>
      <c r="D23" s="2">
        <f t="shared" si="0"/>
        <v>17418.272</v>
      </c>
      <c r="E23" s="61">
        <f t="shared" si="1"/>
        <v>0.018254832229516987</v>
      </c>
    </row>
    <row r="24" spans="1:5" ht="12.75">
      <c r="A24" t="s">
        <v>145</v>
      </c>
      <c r="B24" s="2">
        <f>+' FY07_09 Detailed  Budget '!M67</f>
        <v>92349.2</v>
      </c>
      <c r="C24" s="2">
        <f>+' FY07_09 Detailed  Budget '!M76</f>
        <v>9134.616</v>
      </c>
      <c r="D24" s="2">
        <f t="shared" si="0"/>
        <v>101483.81599999999</v>
      </c>
      <c r="E24" s="61">
        <f t="shared" si="1"/>
        <v>0.10635785427459</v>
      </c>
    </row>
    <row r="25" spans="1:5" ht="12.75">
      <c r="A25" t="s">
        <v>108</v>
      </c>
      <c r="B25" s="2">
        <f>+' FY07_09 Detailed  Budget '!N67</f>
        <v>22902.4</v>
      </c>
      <c r="C25" s="2">
        <f>+' FY07_09 Detailed  Budget '!N76</f>
        <v>4618.272</v>
      </c>
      <c r="D25" s="2">
        <f t="shared" si="0"/>
        <v>27520.672000000002</v>
      </c>
      <c r="E25" s="61">
        <f t="shared" si="1"/>
        <v>0.028842427664671082</v>
      </c>
    </row>
    <row r="26" spans="1:5" ht="12.75">
      <c r="A26" t="s">
        <v>231</v>
      </c>
      <c r="B26" s="2">
        <f>+' FY07_09 Detailed  Budget '!R67</f>
        <v>23199.56</v>
      </c>
      <c r="C26" s="2">
        <f>+' FY07_09 Detailed  Budget '!R76</f>
        <v>3629</v>
      </c>
      <c r="D26" s="2">
        <f t="shared" si="0"/>
        <v>26828.56</v>
      </c>
      <c r="E26" s="61">
        <f t="shared" si="1"/>
        <v>0.028117075089855656</v>
      </c>
    </row>
    <row r="27" spans="1:5" ht="12.75">
      <c r="A27" t="s">
        <v>230</v>
      </c>
      <c r="B27" s="2">
        <f>' FY07_09 Detailed  Budget '!O67</f>
        <v>18000</v>
      </c>
      <c r="C27" s="2">
        <f>' FY07_09 Detailed  Budget '!O76</f>
        <v>3975.168</v>
      </c>
      <c r="D27" s="2">
        <f t="shared" si="0"/>
        <v>21975.168</v>
      </c>
      <c r="E27" s="61">
        <f t="shared" si="1"/>
        <v>0.023030585643366366</v>
      </c>
    </row>
    <row r="28" spans="1:5" ht="12.75">
      <c r="A28" t="s">
        <v>232</v>
      </c>
      <c r="B28" s="2">
        <f>' FY07_09 Detailed  Budget '!Q67</f>
        <v>7200</v>
      </c>
      <c r="C28" s="2">
        <f>' FY07_09 Detailed  Budget '!Q76</f>
        <v>3408.798</v>
      </c>
      <c r="D28" s="2">
        <f t="shared" si="0"/>
        <v>10608.797999999999</v>
      </c>
      <c r="E28" s="61">
        <f t="shared" si="1"/>
        <v>0.011118314586362832</v>
      </c>
    </row>
    <row r="29" spans="1:5" ht="12.75">
      <c r="A29" t="s">
        <v>233</v>
      </c>
      <c r="B29" s="2">
        <f>' FY07_09 Detailed  Budget '!P67</f>
        <v>10200</v>
      </c>
      <c r="C29" s="2">
        <f>' FY07_09 Detailed  Budget '!P76</f>
        <v>0</v>
      </c>
      <c r="D29" s="2">
        <f t="shared" si="0"/>
        <v>10200</v>
      </c>
      <c r="E29" s="61">
        <f t="shared" si="1"/>
        <v>0.010689882942525713</v>
      </c>
    </row>
    <row r="30" spans="1:5" ht="12.75">
      <c r="A30" t="s">
        <v>235</v>
      </c>
      <c r="B30" s="2">
        <v>0</v>
      </c>
      <c r="C30" s="2">
        <f>+' FY07_09 Detailed  Budget '!V75</f>
        <v>12738</v>
      </c>
      <c r="D30" s="2">
        <f t="shared" si="0"/>
        <v>12738</v>
      </c>
      <c r="E30" s="61">
        <f t="shared" si="1"/>
        <v>0.013349777345283583</v>
      </c>
    </row>
    <row r="31" spans="1:5" ht="12.75">
      <c r="A31" t="s">
        <v>32</v>
      </c>
      <c r="B31" s="2">
        <v>0</v>
      </c>
      <c r="C31" s="2">
        <f>+' FY07_09 Detailed  Budget '!V72</f>
        <v>10000</v>
      </c>
      <c r="D31" s="2">
        <f t="shared" si="0"/>
        <v>10000</v>
      </c>
      <c r="E31" s="61">
        <f t="shared" si="1"/>
        <v>0.010480277394633053</v>
      </c>
    </row>
    <row r="32" spans="2:4" ht="12.75">
      <c r="B32" s="2"/>
      <c r="C32" s="2"/>
      <c r="D32" s="2"/>
    </row>
    <row r="33" spans="1:4" ht="12.75">
      <c r="A33" t="s">
        <v>1</v>
      </c>
      <c r="B33" s="19">
        <f>SUM(B16:B32)</f>
        <v>747500.0428828801</v>
      </c>
      <c r="C33" s="19">
        <f>SUM(C16:C32)</f>
        <v>100978.398</v>
      </c>
      <c r="D33" s="19">
        <f>+B33+C33</f>
        <v>848478.4408828801</v>
      </c>
    </row>
    <row r="34" spans="1:5" ht="12.75">
      <c r="A34" t="s">
        <v>234</v>
      </c>
      <c r="B34" s="2">
        <f>+B33*0.128</f>
        <v>95680.00548900865</v>
      </c>
      <c r="C34" s="2">
        <f>(C33-C30-C31)*0.128</f>
        <v>10014.770944</v>
      </c>
      <c r="D34" s="19">
        <f>+B34+C34</f>
        <v>105694.77643300865</v>
      </c>
      <c r="E34" s="61">
        <f>D34/$D$35</f>
        <v>0.11077105761816548</v>
      </c>
    </row>
    <row r="35" spans="1:6" ht="12.75">
      <c r="A35" t="s">
        <v>2</v>
      </c>
      <c r="B35" s="2">
        <f>+B33+B34</f>
        <v>843180.0483718887</v>
      </c>
      <c r="C35" s="2">
        <f>+C33+C34</f>
        <v>110993.168944</v>
      </c>
      <c r="D35" s="19">
        <f>+B35+C35</f>
        <v>954173.2173158887</v>
      </c>
      <c r="E35" s="62">
        <f>SUM(E16:E34)</f>
        <v>0.9999999999999998</v>
      </c>
      <c r="F35" s="19"/>
    </row>
    <row r="36" ht="12.75">
      <c r="E36" s="19"/>
    </row>
    <row r="37" ht="12.75">
      <c r="A37" s="19"/>
    </row>
  </sheetData>
  <printOptions/>
  <pageMargins left="0.75" right="0.75" top="1" bottom="1" header="0.5" footer="0.5"/>
  <pageSetup fitToHeight="1" fitToWidth="1" horizontalDpi="1200" verticalDpi="1200" orientation="portrait" scale="88" r:id="rId1"/>
  <headerFooter alignWithMargins="0">
    <oddFooter>&amp;R&amp;8h:\work\Mbrs\2005_1214\CSMEP-FY07_09SummaryBudgetAndTaskDescription121305.xls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L107"/>
  <sheetViews>
    <sheetView view="pageBreakPreview" zoomScale="60" zoomScaleNormal="75" workbookViewId="0" topLeftCell="A1">
      <pane xSplit="1" ySplit="5" topLeftCell="J15" activePane="bottomRight" state="frozen"/>
      <selection pane="topLeft" activeCell="A1" sqref="A1"/>
      <selection pane="topRight" activeCell="B1" sqref="B1"/>
      <selection pane="bottomLeft" activeCell="A6" sqref="A6"/>
      <selection pane="bottomRight" activeCell="AC15" sqref="AC15"/>
    </sheetView>
  </sheetViews>
  <sheetFormatPr defaultColWidth="9.140625" defaultRowHeight="12.75"/>
  <cols>
    <col min="1" max="1" width="69.140625" style="0" customWidth="1"/>
    <col min="2" max="2" width="12.8515625" style="0" customWidth="1"/>
    <col min="3" max="3" width="11.421875" style="0" customWidth="1"/>
    <col min="4" max="5" width="13.421875" style="0" customWidth="1"/>
    <col min="6" max="6" width="13.00390625" style="0" customWidth="1"/>
    <col min="7" max="9" width="13.8515625" style="0" customWidth="1"/>
    <col min="10" max="11" width="15.421875" style="0" customWidth="1"/>
    <col min="12" max="12" width="13.421875" style="0" customWidth="1"/>
    <col min="13" max="17" width="14.421875" style="0" customWidth="1"/>
    <col min="18" max="26" width="13.7109375" style="0" customWidth="1"/>
    <col min="27" max="27" width="13.7109375" style="186" customWidth="1"/>
    <col min="28" max="29" width="13.7109375" style="0" customWidth="1"/>
    <col min="30" max="30" width="13.421875" style="0" bestFit="1" customWidth="1"/>
    <col min="31" max="31" width="11.421875" style="44" customWidth="1"/>
    <col min="32" max="32" width="15.28125" style="0" customWidth="1"/>
    <col min="33" max="33" width="13.28125" style="0" bestFit="1" customWidth="1"/>
    <col min="34" max="16384" width="8.8515625" style="0" customWidth="1"/>
  </cols>
  <sheetData>
    <row r="1" spans="1:33" ht="12.75">
      <c r="A1" s="1" t="s">
        <v>14</v>
      </c>
      <c r="E1" s="19">
        <f>AD72</f>
        <v>0</v>
      </c>
      <c r="H1" s="15" t="s">
        <v>26</v>
      </c>
      <c r="AG1" t="s">
        <v>131</v>
      </c>
    </row>
    <row r="2" ht="13.5" thickBot="1"/>
    <row r="3" spans="1:32" ht="25.5">
      <c r="A3" s="143" t="s">
        <v>339</v>
      </c>
      <c r="B3" s="7" t="s">
        <v>138</v>
      </c>
      <c r="C3" s="8"/>
      <c r="D3" s="8"/>
      <c r="E3" s="8"/>
      <c r="F3" s="302"/>
      <c r="G3" s="159" t="s">
        <v>186</v>
      </c>
      <c r="H3" s="159" t="s">
        <v>50</v>
      </c>
      <c r="I3" s="160" t="s">
        <v>51</v>
      </c>
      <c r="J3" s="159" t="s">
        <v>335</v>
      </c>
      <c r="K3" s="159" t="s">
        <v>340</v>
      </c>
      <c r="L3" s="160" t="s">
        <v>47</v>
      </c>
      <c r="M3" s="160" t="s">
        <v>49</v>
      </c>
      <c r="N3" s="160" t="s">
        <v>46</v>
      </c>
      <c r="O3" s="318" t="s">
        <v>216</v>
      </c>
      <c r="P3" s="318" t="s">
        <v>158</v>
      </c>
      <c r="Q3" s="318" t="s">
        <v>218</v>
      </c>
      <c r="R3" s="147" t="s">
        <v>39</v>
      </c>
      <c r="S3" s="146" t="s">
        <v>41</v>
      </c>
      <c r="T3" s="146" t="s">
        <v>42</v>
      </c>
      <c r="U3" s="146" t="s">
        <v>224</v>
      </c>
      <c r="V3" s="146" t="s">
        <v>43</v>
      </c>
      <c r="W3" s="146" t="s">
        <v>44</v>
      </c>
      <c r="X3" s="146" t="s">
        <v>45</v>
      </c>
      <c r="Y3" s="196" t="s">
        <v>156</v>
      </c>
      <c r="Z3" s="347" t="s">
        <v>9</v>
      </c>
      <c r="AA3" s="188" t="s">
        <v>110</v>
      </c>
      <c r="AB3" s="20" t="s">
        <v>113</v>
      </c>
      <c r="AC3" s="21" t="s">
        <v>110</v>
      </c>
      <c r="AD3" s="24" t="s">
        <v>146</v>
      </c>
      <c r="AF3" s="21" t="s">
        <v>11</v>
      </c>
    </row>
    <row r="4" spans="2:32" ht="25.5">
      <c r="B4" s="349" t="s">
        <v>126</v>
      </c>
      <c r="C4" s="350"/>
      <c r="D4" s="350"/>
      <c r="E4" s="350"/>
      <c r="F4" s="350"/>
      <c r="G4" s="9" t="s">
        <v>139</v>
      </c>
      <c r="H4" s="9" t="s">
        <v>140</v>
      </c>
      <c r="I4" s="9" t="s">
        <v>141</v>
      </c>
      <c r="J4" s="9" t="s">
        <v>194</v>
      </c>
      <c r="K4" s="9" t="s">
        <v>338</v>
      </c>
      <c r="L4" s="9" t="s">
        <v>144</v>
      </c>
      <c r="M4" s="9" t="s">
        <v>198</v>
      </c>
      <c r="N4" s="9" t="s">
        <v>108</v>
      </c>
      <c r="O4" s="9"/>
      <c r="P4" s="9"/>
      <c r="Q4" s="9"/>
      <c r="R4" s="130" t="s">
        <v>40</v>
      </c>
      <c r="S4" s="130" t="s">
        <v>37</v>
      </c>
      <c r="T4" s="130" t="s">
        <v>38</v>
      </c>
      <c r="U4" s="130" t="s">
        <v>225</v>
      </c>
      <c r="V4" s="130" t="s">
        <v>34</v>
      </c>
      <c r="W4" s="130" t="s">
        <v>35</v>
      </c>
      <c r="X4" s="130" t="s">
        <v>36</v>
      </c>
      <c r="Y4" s="130" t="s">
        <v>157</v>
      </c>
      <c r="Z4" s="348"/>
      <c r="AA4" s="189" t="s">
        <v>123</v>
      </c>
      <c r="AB4" s="9" t="s">
        <v>112</v>
      </c>
      <c r="AC4" s="9" t="s">
        <v>114</v>
      </c>
      <c r="AD4" s="25" t="s">
        <v>115</v>
      </c>
      <c r="AE4" s="166"/>
      <c r="AF4" s="9" t="s">
        <v>12</v>
      </c>
    </row>
    <row r="5" spans="1:33" s="3" customFormat="1" ht="64.5" thickBot="1">
      <c r="A5" s="3" t="s">
        <v>129</v>
      </c>
      <c r="B5" s="11" t="s">
        <v>127</v>
      </c>
      <c r="C5" s="10" t="s">
        <v>128</v>
      </c>
      <c r="D5" s="42" t="s">
        <v>19</v>
      </c>
      <c r="E5" s="285" t="s">
        <v>180</v>
      </c>
      <c r="F5" s="42" t="s">
        <v>179</v>
      </c>
      <c r="G5" s="42" t="s">
        <v>207</v>
      </c>
      <c r="H5" s="42" t="s">
        <v>185</v>
      </c>
      <c r="I5" s="42" t="s">
        <v>341</v>
      </c>
      <c r="J5" s="42" t="s">
        <v>337</v>
      </c>
      <c r="K5" s="42" t="s">
        <v>336</v>
      </c>
      <c r="L5" s="42" t="s">
        <v>22</v>
      </c>
      <c r="M5" s="42" t="s">
        <v>182</v>
      </c>
      <c r="N5" s="42" t="s">
        <v>219</v>
      </c>
      <c r="O5" s="42"/>
      <c r="P5" s="42"/>
      <c r="Q5" s="42"/>
      <c r="R5" s="322" t="s">
        <v>223</v>
      </c>
      <c r="S5" s="42" t="s">
        <v>24</v>
      </c>
      <c r="T5" s="324" t="s">
        <v>226</v>
      </c>
      <c r="U5" s="285" t="s">
        <v>227</v>
      </c>
      <c r="V5" s="42" t="s">
        <v>118</v>
      </c>
      <c r="W5" s="42" t="s">
        <v>195</v>
      </c>
      <c r="X5" s="42" t="s">
        <v>120</v>
      </c>
      <c r="Y5" s="285" t="s">
        <v>158</v>
      </c>
      <c r="Z5" s="42"/>
      <c r="AA5" s="190"/>
      <c r="AB5" s="10"/>
      <c r="AC5" s="9"/>
      <c r="AD5" s="25" t="s">
        <v>112</v>
      </c>
      <c r="AE5" s="165" t="s">
        <v>27</v>
      </c>
      <c r="AF5" s="9"/>
      <c r="AG5" s="3" t="s">
        <v>148</v>
      </c>
    </row>
    <row r="6" spans="1:31" ht="12.75">
      <c r="A6" t="s">
        <v>130</v>
      </c>
      <c r="B6" s="44">
        <v>1100</v>
      </c>
      <c r="C6">
        <v>683</v>
      </c>
      <c r="D6">
        <v>615</v>
      </c>
      <c r="E6" s="44">
        <v>615</v>
      </c>
      <c r="F6">
        <v>400</v>
      </c>
      <c r="G6" s="46">
        <v>450</v>
      </c>
      <c r="H6" s="47">
        <f>287.12*1.218</f>
        <v>349.71216</v>
      </c>
      <c r="I6" s="47">
        <v>430</v>
      </c>
      <c r="J6" s="47">
        <v>430</v>
      </c>
      <c r="K6" s="49">
        <v>400</v>
      </c>
      <c r="L6" s="49">
        <v>400</v>
      </c>
      <c r="M6" s="49">
        <v>400</v>
      </c>
      <c r="N6" s="49">
        <v>400</v>
      </c>
      <c r="O6" s="49">
        <f>120*7.5</f>
        <v>900</v>
      </c>
      <c r="P6" s="49">
        <v>680</v>
      </c>
      <c r="Q6" s="49">
        <v>600</v>
      </c>
      <c r="R6" s="49">
        <f>85*8</f>
        <v>680</v>
      </c>
      <c r="S6">
        <v>0</v>
      </c>
      <c r="T6">
        <v>0</v>
      </c>
      <c r="V6">
        <v>0</v>
      </c>
      <c r="W6">
        <v>0</v>
      </c>
      <c r="X6">
        <v>0</v>
      </c>
      <c r="Y6" s="44">
        <v>0</v>
      </c>
      <c r="Z6">
        <v>0</v>
      </c>
      <c r="AD6" s="26"/>
      <c r="AE6" s="167"/>
    </row>
    <row r="7" spans="1:31" ht="12.75">
      <c r="A7" t="s">
        <v>199</v>
      </c>
      <c r="B7" s="41">
        <f>B6/7.5</f>
        <v>146.66666666666666</v>
      </c>
      <c r="C7" s="41">
        <f>C6/7.5</f>
        <v>91.06666666666666</v>
      </c>
      <c r="D7" s="41">
        <f>D6/7.5</f>
        <v>82</v>
      </c>
      <c r="E7" s="41">
        <f>E6/7.5</f>
        <v>82</v>
      </c>
      <c r="F7" s="41">
        <f>F6/7.5</f>
        <v>53.333333333333336</v>
      </c>
      <c r="G7" s="46"/>
      <c r="H7" s="47"/>
      <c r="I7" s="47"/>
      <c r="J7" s="47"/>
      <c r="K7" s="49"/>
      <c r="L7" s="49"/>
      <c r="M7" s="49"/>
      <c r="N7" s="49"/>
      <c r="O7" s="49"/>
      <c r="P7" s="49"/>
      <c r="Q7" s="49"/>
      <c r="R7" s="49"/>
      <c r="Y7" s="44"/>
      <c r="AD7" s="31"/>
      <c r="AE7" s="167"/>
    </row>
    <row r="8" spans="1:31" ht="12.75">
      <c r="A8" t="s">
        <v>122</v>
      </c>
      <c r="B8" s="41">
        <f aca="true" t="shared" si="0" ref="B8:Y8">B66/260</f>
        <v>0.25218076923076926</v>
      </c>
      <c r="C8" s="41">
        <f t="shared" si="0"/>
        <v>0.019230769230769232</v>
      </c>
      <c r="D8" s="41">
        <f t="shared" si="0"/>
        <v>0.4115384615384615</v>
      </c>
      <c r="E8" s="57">
        <f t="shared" si="0"/>
        <v>0.2826923076923077</v>
      </c>
      <c r="F8" s="41">
        <f t="shared" si="0"/>
        <v>0.011538461538461539</v>
      </c>
      <c r="G8" s="41">
        <f t="shared" si="0"/>
        <v>0.7361730769230769</v>
      </c>
      <c r="H8" s="41">
        <f t="shared" si="0"/>
        <v>1.0400692307692307</v>
      </c>
      <c r="I8" s="41">
        <f t="shared" si="0"/>
        <v>0.6734423076923077</v>
      </c>
      <c r="J8" s="41">
        <f t="shared" si="0"/>
        <v>0.9330153846153846</v>
      </c>
      <c r="K8" s="67">
        <f>K66/260</f>
        <v>0.12307692307692308</v>
      </c>
      <c r="L8" s="67">
        <f t="shared" si="0"/>
        <v>0.12307692307692308</v>
      </c>
      <c r="M8" s="67">
        <f t="shared" si="0"/>
        <v>0.8879730769230769</v>
      </c>
      <c r="N8" s="67">
        <f t="shared" si="0"/>
        <v>0.22021538461538462</v>
      </c>
      <c r="O8" s="67"/>
      <c r="P8" s="41">
        <f t="shared" si="0"/>
        <v>0.057692307692307696</v>
      </c>
      <c r="Q8" s="67"/>
      <c r="R8" s="41">
        <f t="shared" si="0"/>
        <v>0.13121923076923078</v>
      </c>
      <c r="S8" s="47">
        <f t="shared" si="0"/>
        <v>0.7846153846153846</v>
      </c>
      <c r="T8" s="60">
        <f t="shared" si="0"/>
        <v>0.5307692307692308</v>
      </c>
      <c r="U8" s="60"/>
      <c r="V8" s="60">
        <f t="shared" si="0"/>
        <v>0.7423076923076923</v>
      </c>
      <c r="W8" s="47">
        <f t="shared" si="0"/>
        <v>0.31153846153846154</v>
      </c>
      <c r="X8" s="47">
        <f t="shared" si="0"/>
        <v>0.4807692307692308</v>
      </c>
      <c r="Y8" s="46">
        <f t="shared" si="0"/>
        <v>0.09903846153846153</v>
      </c>
      <c r="Z8" s="59">
        <f>SUM(S8:X8)</f>
        <v>2.8499999999999996</v>
      </c>
      <c r="AD8" s="31"/>
      <c r="AE8" s="167"/>
    </row>
    <row r="9" spans="1:32" ht="12.75">
      <c r="A9" t="s">
        <v>121</v>
      </c>
      <c r="B9" s="41"/>
      <c r="E9" s="44"/>
      <c r="G9" s="49"/>
      <c r="H9" s="49"/>
      <c r="I9" s="49"/>
      <c r="J9" s="49"/>
      <c r="K9" s="49"/>
      <c r="L9" s="49"/>
      <c r="M9" s="49"/>
      <c r="N9" s="49"/>
      <c r="O9" s="49"/>
      <c r="P9" s="49"/>
      <c r="Q9" s="49"/>
      <c r="R9" s="49"/>
      <c r="S9" s="54" t="s">
        <v>119</v>
      </c>
      <c r="T9" s="55">
        <v>1.125</v>
      </c>
      <c r="U9" s="55"/>
      <c r="V9" s="54">
        <v>0.75</v>
      </c>
      <c r="W9" s="54">
        <v>0.5</v>
      </c>
      <c r="X9" s="54">
        <v>0.5</v>
      </c>
      <c r="Y9" s="57"/>
      <c r="AC9" s="33" t="s">
        <v>116</v>
      </c>
      <c r="AD9" s="40"/>
      <c r="AE9" s="168"/>
      <c r="AF9" s="34"/>
    </row>
    <row r="10" spans="1:32" ht="12.75">
      <c r="A10" t="s">
        <v>159</v>
      </c>
      <c r="E10" s="295"/>
      <c r="G10" s="49"/>
      <c r="H10" s="49"/>
      <c r="I10" s="49"/>
      <c r="J10" s="49"/>
      <c r="K10" s="49"/>
      <c r="L10" s="49"/>
      <c r="M10" s="49"/>
      <c r="N10" s="49"/>
      <c r="O10" s="49"/>
      <c r="P10" s="49"/>
      <c r="Q10" s="49"/>
      <c r="R10" s="49"/>
      <c r="S10" s="57"/>
      <c r="T10" s="58"/>
      <c r="U10" s="58"/>
      <c r="V10" s="57"/>
      <c r="W10" s="57"/>
      <c r="X10" s="57"/>
      <c r="Y10" s="57"/>
      <c r="AC10" s="35" t="s">
        <v>111</v>
      </c>
      <c r="AD10" s="56"/>
      <c r="AE10" s="167"/>
      <c r="AF10" s="36"/>
    </row>
    <row r="11" spans="1:32" ht="12.75">
      <c r="A11" s="1" t="s">
        <v>197</v>
      </c>
      <c r="E11" s="44"/>
      <c r="G11" s="49"/>
      <c r="H11" s="49"/>
      <c r="I11" s="49"/>
      <c r="J11" s="49"/>
      <c r="K11" s="49"/>
      <c r="L11" s="49"/>
      <c r="M11" s="49"/>
      <c r="N11" s="49"/>
      <c r="O11" s="49"/>
      <c r="P11" s="49"/>
      <c r="Q11" s="49"/>
      <c r="R11" s="49"/>
      <c r="Y11" s="44"/>
      <c r="AC11" s="37" t="s">
        <v>117</v>
      </c>
      <c r="AD11" s="38"/>
      <c r="AE11" s="169"/>
      <c r="AF11" s="36"/>
    </row>
    <row r="12" spans="1:31" s="1" customFormat="1" ht="12.75">
      <c r="A12" s="4"/>
      <c r="E12" s="82"/>
      <c r="G12" s="50"/>
      <c r="H12" s="50"/>
      <c r="I12" s="50"/>
      <c r="J12" s="50"/>
      <c r="K12" s="50"/>
      <c r="L12" s="50"/>
      <c r="M12" s="50"/>
      <c r="N12" s="50"/>
      <c r="O12" s="50"/>
      <c r="P12" s="50"/>
      <c r="Q12" s="50"/>
      <c r="R12" s="50"/>
      <c r="Y12" s="82"/>
      <c r="AA12" s="182"/>
      <c r="AE12" s="82"/>
    </row>
    <row r="13" spans="1:32" s="1" customFormat="1" ht="12.75">
      <c r="A13" s="4"/>
      <c r="E13" s="82"/>
      <c r="G13" s="50"/>
      <c r="H13" s="50"/>
      <c r="I13" s="50"/>
      <c r="J13" s="50"/>
      <c r="K13" s="50"/>
      <c r="L13" s="50"/>
      <c r="M13" s="50"/>
      <c r="N13" s="50"/>
      <c r="O13" s="50"/>
      <c r="P13" s="50"/>
      <c r="Q13" s="50"/>
      <c r="R13" s="50"/>
      <c r="Y13" s="82"/>
      <c r="AA13" s="182"/>
      <c r="AC13" s="63"/>
      <c r="AD13" s="64"/>
      <c r="AE13" s="65"/>
      <c r="AF13" s="65"/>
    </row>
    <row r="14" spans="1:38" s="1" customFormat="1" ht="12.75">
      <c r="A14" s="82" t="s">
        <v>102</v>
      </c>
      <c r="E14" s="82"/>
      <c r="G14" s="50"/>
      <c r="H14" s="50"/>
      <c r="I14" s="50"/>
      <c r="J14" s="50"/>
      <c r="K14" s="50"/>
      <c r="L14" s="50"/>
      <c r="M14" s="50"/>
      <c r="N14" s="50"/>
      <c r="O14" s="50"/>
      <c r="P14" s="50"/>
      <c r="Q14" s="50"/>
      <c r="R14" s="50"/>
      <c r="Y14" s="82"/>
      <c r="AA14" s="182"/>
      <c r="AE14" s="82"/>
      <c r="AH14"/>
      <c r="AI14"/>
      <c r="AJ14"/>
      <c r="AK14"/>
      <c r="AL14"/>
    </row>
    <row r="15" spans="1:38" s="1" customFormat="1" ht="12.75">
      <c r="A15" s="68" t="s">
        <v>55</v>
      </c>
      <c r="B15" s="6">
        <v>4</v>
      </c>
      <c r="C15" s="6"/>
      <c r="D15" s="6">
        <v>5</v>
      </c>
      <c r="E15" s="68">
        <v>0</v>
      </c>
      <c r="F15" s="6"/>
      <c r="G15" s="49">
        <v>4</v>
      </c>
      <c r="H15" s="49">
        <v>4</v>
      </c>
      <c r="I15" s="49">
        <v>4</v>
      </c>
      <c r="J15" s="49">
        <v>4</v>
      </c>
      <c r="K15" s="49"/>
      <c r="L15" s="49"/>
      <c r="M15" s="49">
        <v>4</v>
      </c>
      <c r="N15" s="49">
        <v>4</v>
      </c>
      <c r="O15" s="49"/>
      <c r="P15" s="49"/>
      <c r="Q15" s="49"/>
      <c r="R15" s="49"/>
      <c r="S15" s="49">
        <v>4</v>
      </c>
      <c r="T15" s="49"/>
      <c r="U15" s="49"/>
      <c r="V15" s="6">
        <v>10</v>
      </c>
      <c r="W15" s="49">
        <v>4</v>
      </c>
      <c r="X15" s="49">
        <v>4</v>
      </c>
      <c r="Y15" s="286">
        <v>0</v>
      </c>
      <c r="Z15" s="6">
        <f aca="true" t="shared" si="1" ref="Z15:Z20">SUM(S15:X15)</f>
        <v>22</v>
      </c>
      <c r="AA15" s="186">
        <f aca="true" t="shared" si="2" ref="AA15:AA20">SUM(B15:R15)</f>
        <v>33</v>
      </c>
      <c r="AB15" s="131">
        <f aca="true" t="shared" si="3" ref="AB15:AB20">SUMPRODUCT(B15:R15,$B$6:$R$6)</f>
        <v>17313.84864</v>
      </c>
      <c r="AC15" s="131">
        <f aca="true" t="shared" si="4" ref="AC15:AC21">+(AA15/$AA$66)*($AA$73+$AA$74+$AB$80)</f>
        <v>2739.5114278716246</v>
      </c>
      <c r="AD15" s="27">
        <f aca="true" t="shared" si="5" ref="AD15:AD20">AB15+AC15</f>
        <v>20053.360067871625</v>
      </c>
      <c r="AE15" s="170"/>
      <c r="AF15" s="132">
        <f aca="true" t="shared" si="6" ref="AF15:AF20">AD15*2</f>
        <v>40106.72013574325</v>
      </c>
      <c r="AG15"/>
      <c r="AH15"/>
      <c r="AI15"/>
      <c r="AJ15"/>
      <c r="AK15"/>
      <c r="AL15"/>
    </row>
    <row r="16" spans="1:38" s="1" customFormat="1" ht="12.75">
      <c r="A16" s="68" t="s">
        <v>53</v>
      </c>
      <c r="B16" s="6">
        <v>1</v>
      </c>
      <c r="C16" s="6"/>
      <c r="D16" s="6">
        <v>4</v>
      </c>
      <c r="E16" s="68">
        <v>0</v>
      </c>
      <c r="F16" s="6"/>
      <c r="G16" s="49">
        <v>2</v>
      </c>
      <c r="H16" s="49">
        <v>2</v>
      </c>
      <c r="I16" s="49">
        <v>2</v>
      </c>
      <c r="J16" s="49">
        <v>2</v>
      </c>
      <c r="K16" s="49">
        <v>1</v>
      </c>
      <c r="L16" s="49">
        <v>1</v>
      </c>
      <c r="M16" s="49">
        <v>2</v>
      </c>
      <c r="N16" s="49">
        <v>2</v>
      </c>
      <c r="O16" s="49"/>
      <c r="P16" s="49"/>
      <c r="Q16" s="49"/>
      <c r="R16" s="49"/>
      <c r="S16" s="49">
        <v>2</v>
      </c>
      <c r="T16" s="49"/>
      <c r="U16" s="49"/>
      <c r="V16" s="6">
        <v>5</v>
      </c>
      <c r="W16" s="49">
        <v>2</v>
      </c>
      <c r="X16" s="49">
        <v>2</v>
      </c>
      <c r="Y16" s="286">
        <v>0</v>
      </c>
      <c r="Z16" s="6">
        <f t="shared" si="1"/>
        <v>11</v>
      </c>
      <c r="AA16" s="186">
        <f t="shared" si="2"/>
        <v>19</v>
      </c>
      <c r="AB16" s="131">
        <f t="shared" si="3"/>
        <v>9279.42432</v>
      </c>
      <c r="AC16" s="131">
        <f t="shared" si="4"/>
        <v>1577.2944584715415</v>
      </c>
      <c r="AD16" s="27">
        <f t="shared" si="5"/>
        <v>10856.718778471542</v>
      </c>
      <c r="AE16" s="170"/>
      <c r="AF16" s="132">
        <f t="shared" si="6"/>
        <v>21713.437556943085</v>
      </c>
      <c r="AG16"/>
      <c r="AH16"/>
      <c r="AI16"/>
      <c r="AJ16"/>
      <c r="AK16"/>
      <c r="AL16"/>
    </row>
    <row r="17" spans="1:38" s="1" customFormat="1" ht="12.75">
      <c r="A17" s="68" t="s">
        <v>213</v>
      </c>
      <c r="B17" s="6">
        <v>2</v>
      </c>
      <c r="C17" s="6"/>
      <c r="D17" s="6">
        <v>7</v>
      </c>
      <c r="E17" s="68">
        <v>2</v>
      </c>
      <c r="F17" s="6">
        <v>1</v>
      </c>
      <c r="G17" s="49">
        <v>3</v>
      </c>
      <c r="H17" s="49">
        <v>3</v>
      </c>
      <c r="I17" s="49">
        <v>3</v>
      </c>
      <c r="J17" s="49">
        <v>3</v>
      </c>
      <c r="K17" s="49">
        <v>2</v>
      </c>
      <c r="L17" s="49">
        <v>2</v>
      </c>
      <c r="M17" s="49">
        <v>3</v>
      </c>
      <c r="N17" s="49">
        <v>3</v>
      </c>
      <c r="O17" s="49"/>
      <c r="P17" s="49"/>
      <c r="Q17" s="49"/>
      <c r="R17" s="49">
        <v>2</v>
      </c>
      <c r="S17" s="49">
        <v>3</v>
      </c>
      <c r="T17" s="49">
        <v>3</v>
      </c>
      <c r="U17" s="49"/>
      <c r="V17" s="6">
        <v>15</v>
      </c>
      <c r="W17" s="49">
        <v>3</v>
      </c>
      <c r="X17" s="49">
        <v>3</v>
      </c>
      <c r="Y17" s="286">
        <v>1</v>
      </c>
      <c r="Z17" s="6">
        <f t="shared" si="1"/>
        <v>27</v>
      </c>
      <c r="AA17" s="186">
        <f t="shared" si="2"/>
        <v>36</v>
      </c>
      <c r="AB17" s="131">
        <f t="shared" si="3"/>
        <v>18474.13648</v>
      </c>
      <c r="AC17" s="131">
        <f t="shared" si="4"/>
        <v>2988.5579213144993</v>
      </c>
      <c r="AD17" s="27">
        <f t="shared" si="5"/>
        <v>21462.6944013145</v>
      </c>
      <c r="AE17" s="170"/>
      <c r="AF17" s="132">
        <f t="shared" si="6"/>
        <v>42925.388802629</v>
      </c>
      <c r="AG17"/>
      <c r="AH17"/>
      <c r="AI17"/>
      <c r="AJ17"/>
      <c r="AK17"/>
      <c r="AL17"/>
    </row>
    <row r="18" spans="1:38" s="1" customFormat="1" ht="12.75">
      <c r="A18" s="68" t="s">
        <v>212</v>
      </c>
      <c r="B18" s="6">
        <v>8</v>
      </c>
      <c r="C18" s="6"/>
      <c r="D18" s="6">
        <v>10</v>
      </c>
      <c r="E18" s="68">
        <v>6</v>
      </c>
      <c r="F18" s="6"/>
      <c r="G18" s="49">
        <v>8</v>
      </c>
      <c r="H18" s="49">
        <v>8</v>
      </c>
      <c r="I18" s="49">
        <v>8</v>
      </c>
      <c r="J18" s="49">
        <v>8</v>
      </c>
      <c r="K18" s="49">
        <v>8</v>
      </c>
      <c r="L18" s="49">
        <v>8</v>
      </c>
      <c r="M18" s="49">
        <v>8</v>
      </c>
      <c r="N18" s="49">
        <v>8</v>
      </c>
      <c r="O18" s="49"/>
      <c r="P18" s="49"/>
      <c r="Q18" s="49"/>
      <c r="R18" s="49">
        <v>5</v>
      </c>
      <c r="S18" s="49">
        <v>8</v>
      </c>
      <c r="T18" s="49">
        <v>8</v>
      </c>
      <c r="U18" s="49"/>
      <c r="V18" s="6">
        <v>20</v>
      </c>
      <c r="W18" s="49">
        <v>8</v>
      </c>
      <c r="X18" s="49">
        <v>8</v>
      </c>
      <c r="Y18" s="286">
        <v>1.5</v>
      </c>
      <c r="Z18" s="6">
        <f t="shared" si="1"/>
        <v>52</v>
      </c>
      <c r="AA18" s="186">
        <f t="shared" si="2"/>
        <v>93</v>
      </c>
      <c r="AB18" s="131">
        <f t="shared" si="3"/>
        <v>48117.69728</v>
      </c>
      <c r="AC18" s="131">
        <f>+(AA18/$AA$66)*($AA$73+$AA$74+$AB$80)</f>
        <v>7720.441296729124</v>
      </c>
      <c r="AD18" s="27">
        <f t="shared" si="5"/>
        <v>55838.13857672912</v>
      </c>
      <c r="AE18" s="170"/>
      <c r="AF18" s="132">
        <f t="shared" si="6"/>
        <v>111676.27715345824</v>
      </c>
      <c r="AG18"/>
      <c r="AH18"/>
      <c r="AI18"/>
      <c r="AJ18"/>
      <c r="AK18"/>
      <c r="AL18"/>
    </row>
    <row r="19" spans="1:38" s="1" customFormat="1" ht="12.75">
      <c r="A19" s="68" t="s">
        <v>60</v>
      </c>
      <c r="B19" s="6">
        <v>4</v>
      </c>
      <c r="C19" s="6"/>
      <c r="D19" s="6">
        <v>3</v>
      </c>
      <c r="E19" s="68">
        <v>0</v>
      </c>
      <c r="F19" s="6"/>
      <c r="G19" s="49">
        <v>3</v>
      </c>
      <c r="H19" s="49">
        <v>3</v>
      </c>
      <c r="I19" s="49">
        <v>3</v>
      </c>
      <c r="J19" s="49">
        <v>3</v>
      </c>
      <c r="K19" s="49">
        <v>2</v>
      </c>
      <c r="L19" s="49">
        <v>2</v>
      </c>
      <c r="M19" s="49">
        <v>3</v>
      </c>
      <c r="N19" s="49">
        <v>8</v>
      </c>
      <c r="O19" s="49"/>
      <c r="P19" s="49"/>
      <c r="Q19" s="49"/>
      <c r="R19" s="49"/>
      <c r="S19" s="49">
        <v>3</v>
      </c>
      <c r="T19" s="49"/>
      <c r="U19" s="49"/>
      <c r="V19" s="6">
        <v>20</v>
      </c>
      <c r="W19" s="49"/>
      <c r="X19" s="49">
        <v>3</v>
      </c>
      <c r="Y19" s="286">
        <v>0</v>
      </c>
      <c r="Z19" s="6">
        <f t="shared" si="1"/>
        <v>26</v>
      </c>
      <c r="AA19" s="186">
        <f t="shared" si="2"/>
        <v>34</v>
      </c>
      <c r="AB19" s="131">
        <f t="shared" si="3"/>
        <v>17224.13648</v>
      </c>
      <c r="AC19" s="131">
        <f t="shared" si="4"/>
        <v>2822.5269256859165</v>
      </c>
      <c r="AD19" s="27">
        <f t="shared" si="5"/>
        <v>20046.66340568592</v>
      </c>
      <c r="AE19" s="170"/>
      <c r="AF19" s="132">
        <f t="shared" si="6"/>
        <v>40093.32681137184</v>
      </c>
      <c r="AG19"/>
      <c r="AH19"/>
      <c r="AI19"/>
      <c r="AJ19"/>
      <c r="AK19"/>
      <c r="AL19"/>
    </row>
    <row r="20" spans="1:38" s="1" customFormat="1" ht="12.75">
      <c r="A20" s="68" t="s">
        <v>58</v>
      </c>
      <c r="B20" s="6">
        <v>4</v>
      </c>
      <c r="C20" s="6"/>
      <c r="D20" s="6">
        <v>2</v>
      </c>
      <c r="E20" s="68">
        <v>0</v>
      </c>
      <c r="F20" s="6"/>
      <c r="G20" s="49">
        <v>2</v>
      </c>
      <c r="H20" s="49">
        <v>2</v>
      </c>
      <c r="I20" s="49">
        <v>2</v>
      </c>
      <c r="J20" s="49">
        <v>2</v>
      </c>
      <c r="K20" s="49">
        <v>1</v>
      </c>
      <c r="L20" s="49">
        <v>1</v>
      </c>
      <c r="M20" s="49">
        <v>2</v>
      </c>
      <c r="N20" s="49">
        <v>2</v>
      </c>
      <c r="O20" s="49"/>
      <c r="P20" s="49"/>
      <c r="Q20" s="49"/>
      <c r="R20" s="49"/>
      <c r="S20" s="49">
        <v>2</v>
      </c>
      <c r="T20" s="49">
        <v>2</v>
      </c>
      <c r="U20" s="49"/>
      <c r="V20" s="6">
        <v>20</v>
      </c>
      <c r="W20" s="49"/>
      <c r="X20" s="6"/>
      <c r="Y20" s="286">
        <v>0</v>
      </c>
      <c r="Z20" s="6">
        <f t="shared" si="1"/>
        <v>24</v>
      </c>
      <c r="AA20" s="186">
        <f t="shared" si="2"/>
        <v>20</v>
      </c>
      <c r="AB20" s="131">
        <f t="shared" si="3"/>
        <v>11349.42432</v>
      </c>
      <c r="AC20" s="131">
        <f t="shared" si="4"/>
        <v>1660.309956285833</v>
      </c>
      <c r="AD20" s="27">
        <f t="shared" si="5"/>
        <v>13009.734276285833</v>
      </c>
      <c r="AE20" s="170"/>
      <c r="AF20" s="132">
        <f t="shared" si="6"/>
        <v>26019.468552571667</v>
      </c>
      <c r="AG20"/>
      <c r="AH20"/>
      <c r="AI20"/>
      <c r="AJ20"/>
      <c r="AK20"/>
      <c r="AL20"/>
    </row>
    <row r="21" spans="1:38" s="1" customFormat="1" ht="12.75">
      <c r="A21" s="68"/>
      <c r="E21" s="82"/>
      <c r="G21" s="50"/>
      <c r="H21" s="50"/>
      <c r="I21" s="50"/>
      <c r="J21" s="50"/>
      <c r="K21" s="50"/>
      <c r="L21" s="50"/>
      <c r="M21" s="50"/>
      <c r="N21" s="50"/>
      <c r="O21" s="50"/>
      <c r="P21" s="50"/>
      <c r="Q21" s="50"/>
      <c r="R21" s="50"/>
      <c r="Y21" s="82"/>
      <c r="Z21" s="6"/>
      <c r="AA21" s="186"/>
      <c r="AB21" s="131"/>
      <c r="AC21" s="131">
        <f t="shared" si="4"/>
        <v>0</v>
      </c>
      <c r="AD21" s="131"/>
      <c r="AE21" s="171"/>
      <c r="AF21" s="132"/>
      <c r="AG21"/>
      <c r="AH21"/>
      <c r="AI21"/>
      <c r="AJ21"/>
      <c r="AK21"/>
      <c r="AL21"/>
    </row>
    <row r="22" spans="1:38" s="1" customFormat="1" ht="12.75">
      <c r="A22" s="4" t="s">
        <v>135</v>
      </c>
      <c r="B22" s="1">
        <f>SUM(B15:B21)</f>
        <v>23</v>
      </c>
      <c r="C22" s="1">
        <f aca="true" t="shared" si="7" ref="C22:AB22">SUM(C15:C21)</f>
        <v>0</v>
      </c>
      <c r="D22" s="1">
        <f t="shared" si="7"/>
        <v>31</v>
      </c>
      <c r="E22" s="82">
        <f t="shared" si="7"/>
        <v>8</v>
      </c>
      <c r="F22" s="1">
        <f t="shared" si="7"/>
        <v>1</v>
      </c>
      <c r="G22" s="1">
        <f t="shared" si="7"/>
        <v>22</v>
      </c>
      <c r="H22" s="1">
        <f t="shared" si="7"/>
        <v>22</v>
      </c>
      <c r="I22" s="1">
        <f t="shared" si="7"/>
        <v>22</v>
      </c>
      <c r="J22" s="1">
        <f t="shared" si="7"/>
        <v>22</v>
      </c>
      <c r="K22" s="1">
        <f t="shared" si="7"/>
        <v>14</v>
      </c>
      <c r="L22" s="1">
        <f t="shared" si="7"/>
        <v>14</v>
      </c>
      <c r="M22" s="1">
        <f t="shared" si="7"/>
        <v>22</v>
      </c>
      <c r="N22" s="1">
        <f t="shared" si="7"/>
        <v>27</v>
      </c>
      <c r="O22" s="1">
        <f t="shared" si="7"/>
        <v>0</v>
      </c>
      <c r="P22" s="1">
        <f t="shared" si="7"/>
        <v>0</v>
      </c>
      <c r="Q22" s="1">
        <f t="shared" si="7"/>
        <v>0</v>
      </c>
      <c r="R22" s="1">
        <f t="shared" si="7"/>
        <v>7</v>
      </c>
      <c r="S22" s="1">
        <f t="shared" si="7"/>
        <v>22</v>
      </c>
      <c r="T22" s="1">
        <f t="shared" si="7"/>
        <v>13</v>
      </c>
      <c r="U22" s="1">
        <f t="shared" si="7"/>
        <v>0</v>
      </c>
      <c r="V22" s="1">
        <f t="shared" si="7"/>
        <v>90</v>
      </c>
      <c r="W22" s="1">
        <f t="shared" si="7"/>
        <v>17</v>
      </c>
      <c r="X22" s="1">
        <f t="shared" si="7"/>
        <v>20</v>
      </c>
      <c r="Y22" s="82">
        <f t="shared" si="7"/>
        <v>2.5</v>
      </c>
      <c r="Z22" s="1">
        <f t="shared" si="7"/>
        <v>162</v>
      </c>
      <c r="AA22" s="182">
        <f t="shared" si="7"/>
        <v>235</v>
      </c>
      <c r="AB22" s="93">
        <f t="shared" si="7"/>
        <v>121758.66752000002</v>
      </c>
      <c r="AC22" s="93">
        <f>AA72+AA75+SUM(AC15:AC20)</f>
        <v>96116.03998635852</v>
      </c>
      <c r="AD22" s="28">
        <f>AB22+AC22</f>
        <v>217874.70750635854</v>
      </c>
      <c r="AE22" s="176">
        <f>AD22/$AD$66</f>
        <v>0.22834352340105085</v>
      </c>
      <c r="AF22" s="45">
        <f>AD22*2</f>
        <v>435749.4150127171</v>
      </c>
      <c r="AG22"/>
      <c r="AH22" s="1">
        <f>SUM(AH15:AH21)</f>
        <v>0</v>
      </c>
      <c r="AI22"/>
      <c r="AJ22"/>
      <c r="AK22"/>
      <c r="AL22"/>
    </row>
    <row r="23" spans="1:32" s="1" customFormat="1" ht="12.75">
      <c r="A23" s="4"/>
      <c r="E23" s="82"/>
      <c r="G23" s="50"/>
      <c r="H23" s="50"/>
      <c r="I23" s="50"/>
      <c r="J23" s="50"/>
      <c r="K23" s="50"/>
      <c r="L23" s="50"/>
      <c r="M23" s="50"/>
      <c r="N23" s="50"/>
      <c r="O23" s="50"/>
      <c r="P23" s="50"/>
      <c r="Q23" s="50"/>
      <c r="R23" s="50"/>
      <c r="Y23" s="82"/>
      <c r="AA23" s="182"/>
      <c r="AC23" s="63"/>
      <c r="AD23" s="131"/>
      <c r="AE23" s="65"/>
      <c r="AF23" s="65"/>
    </row>
    <row r="24" spans="1:31" ht="12.75">
      <c r="A24" s="1" t="s">
        <v>125</v>
      </c>
      <c r="B24" s="150" t="s">
        <v>16</v>
      </c>
      <c r="E24" s="44"/>
      <c r="G24" s="49"/>
      <c r="H24" s="49"/>
      <c r="I24" s="49"/>
      <c r="J24" s="49"/>
      <c r="K24" s="49"/>
      <c r="L24" s="49"/>
      <c r="M24" s="49"/>
      <c r="N24" s="49"/>
      <c r="O24" s="49"/>
      <c r="P24" s="49"/>
      <c r="Q24" s="49"/>
      <c r="R24" s="49"/>
      <c r="Y24" s="44"/>
      <c r="AD24" s="131"/>
      <c r="AE24" s="167"/>
    </row>
    <row r="25" spans="1:32" ht="12.75">
      <c r="A25" s="6" t="s">
        <v>210</v>
      </c>
      <c r="B25">
        <v>2</v>
      </c>
      <c r="C25" s="6"/>
      <c r="D25">
        <v>2</v>
      </c>
      <c r="E25" s="44">
        <v>0</v>
      </c>
      <c r="G25" s="49">
        <v>15</v>
      </c>
      <c r="H25" s="49">
        <v>10</v>
      </c>
      <c r="I25" s="49">
        <v>10</v>
      </c>
      <c r="J25" s="49"/>
      <c r="K25" s="49"/>
      <c r="L25" s="49"/>
      <c r="M25" s="49">
        <v>10</v>
      </c>
      <c r="N25" s="49"/>
      <c r="O25" s="49"/>
      <c r="P25" s="49"/>
      <c r="Q25" s="49"/>
      <c r="R25" s="49"/>
      <c r="S25">
        <v>132</v>
      </c>
      <c r="T25">
        <v>10</v>
      </c>
      <c r="Y25" s="286">
        <v>0</v>
      </c>
      <c r="Z25" s="6">
        <f>SUM(S25:X25)</f>
        <v>142</v>
      </c>
      <c r="AA25" s="186">
        <f>SUM(B25:R25)</f>
        <v>49</v>
      </c>
      <c r="AB25" s="131">
        <f>SUMPRODUCT(B25:R25,$B$6:$R$6)</f>
        <v>21977.1216</v>
      </c>
      <c r="AC25" s="131">
        <f>+(AA25/$AA$66)*($AA$73+$AA$74+$AB$80)</f>
        <v>4067.7593929002905</v>
      </c>
      <c r="AD25" s="27">
        <f>AB25+AC25</f>
        <v>26044.88099290029</v>
      </c>
      <c r="AE25" s="170"/>
      <c r="AF25" s="132">
        <f>AD25*2</f>
        <v>52089.76198580058</v>
      </c>
    </row>
    <row r="26" spans="1:32" ht="12.75">
      <c r="A26" s="6" t="s">
        <v>215</v>
      </c>
      <c r="C26" s="6"/>
      <c r="E26" s="44">
        <v>0</v>
      </c>
      <c r="G26" s="49"/>
      <c r="H26" s="49">
        <v>5</v>
      </c>
      <c r="I26" s="49">
        <v>5</v>
      </c>
      <c r="J26" s="49">
        <v>10</v>
      </c>
      <c r="K26" s="49"/>
      <c r="L26" s="49"/>
      <c r="M26" s="49"/>
      <c r="N26" s="49"/>
      <c r="O26" s="49"/>
      <c r="P26" s="49"/>
      <c r="Q26" s="49">
        <v>12</v>
      </c>
      <c r="R26" s="49"/>
      <c r="U26">
        <v>30</v>
      </c>
      <c r="X26">
        <v>10</v>
      </c>
      <c r="Y26" s="286">
        <v>0</v>
      </c>
      <c r="Z26" s="6">
        <f>SUM(S26:X26)</f>
        <v>40</v>
      </c>
      <c r="AA26" s="186">
        <f>SUM(B26:R26)</f>
        <v>32</v>
      </c>
      <c r="AB26" s="131">
        <f>SUMPRODUCT(B26:R26,$B$6:$R$6)</f>
        <v>15398.5608</v>
      </c>
      <c r="AC26" s="131">
        <f>+(AA26/$AA$66)*($AA$73+$AA$74+$AB$80)</f>
        <v>2656.4959300573328</v>
      </c>
      <c r="AD26" s="27">
        <f>AB26+AC26</f>
        <v>18055.05673005733</v>
      </c>
      <c r="AE26" s="170"/>
      <c r="AF26" s="132">
        <f>AD26*2</f>
        <v>36110.11346011466</v>
      </c>
    </row>
    <row r="27" spans="1:32" ht="12.75">
      <c r="A27" s="6"/>
      <c r="C27" s="6"/>
      <c r="E27" s="44"/>
      <c r="G27" s="49"/>
      <c r="H27" s="49"/>
      <c r="I27" s="49"/>
      <c r="J27" s="49"/>
      <c r="K27" s="49"/>
      <c r="L27" s="49"/>
      <c r="M27" s="49"/>
      <c r="N27" s="49"/>
      <c r="O27" s="49"/>
      <c r="P27" s="49"/>
      <c r="Q27" s="49"/>
      <c r="R27" s="49"/>
      <c r="V27">
        <v>5</v>
      </c>
      <c r="Y27" s="286">
        <v>0</v>
      </c>
      <c r="Z27" s="6">
        <f>SUM(S27:X27)</f>
        <v>5</v>
      </c>
      <c r="AA27" s="131"/>
      <c r="AB27" s="131"/>
      <c r="AC27" s="131"/>
      <c r="AD27" s="131"/>
      <c r="AE27" s="170"/>
      <c r="AF27" s="132">
        <f>AD27*2</f>
        <v>0</v>
      </c>
    </row>
    <row r="28" spans="1:32" ht="12.75">
      <c r="A28" s="6"/>
      <c r="E28" s="44"/>
      <c r="G28" s="49"/>
      <c r="H28" s="49"/>
      <c r="I28" s="49"/>
      <c r="J28" s="49"/>
      <c r="K28" s="49"/>
      <c r="L28" s="49"/>
      <c r="M28" s="49"/>
      <c r="N28" s="49"/>
      <c r="O28" s="49"/>
      <c r="P28" s="49"/>
      <c r="Q28" s="49"/>
      <c r="R28" s="49"/>
      <c r="Y28" s="44"/>
      <c r="Z28" s="6"/>
      <c r="AB28" s="131"/>
      <c r="AC28" s="131"/>
      <c r="AD28" s="131"/>
      <c r="AE28" s="170"/>
      <c r="AF28" s="132"/>
    </row>
    <row r="29" spans="1:32" ht="12.75">
      <c r="A29" s="4" t="s">
        <v>136</v>
      </c>
      <c r="B29" s="1">
        <f>SUM(B25:B28)</f>
        <v>2</v>
      </c>
      <c r="C29" s="1">
        <f aca="true" t="shared" si="8" ref="C29:AF29">SUM(C25:C28)</f>
        <v>0</v>
      </c>
      <c r="D29" s="1">
        <f t="shared" si="8"/>
        <v>2</v>
      </c>
      <c r="E29" s="82">
        <f t="shared" si="8"/>
        <v>0</v>
      </c>
      <c r="F29" s="1">
        <f t="shared" si="8"/>
        <v>0</v>
      </c>
      <c r="G29" s="1">
        <f t="shared" si="8"/>
        <v>15</v>
      </c>
      <c r="H29" s="1">
        <f t="shared" si="8"/>
        <v>15</v>
      </c>
      <c r="I29" s="1">
        <f t="shared" si="8"/>
        <v>15</v>
      </c>
      <c r="J29" s="1">
        <f t="shared" si="8"/>
        <v>10</v>
      </c>
      <c r="K29" s="1">
        <f t="shared" si="8"/>
        <v>0</v>
      </c>
      <c r="L29" s="1">
        <f t="shared" si="8"/>
        <v>0</v>
      </c>
      <c r="M29" s="1">
        <f t="shared" si="8"/>
        <v>10</v>
      </c>
      <c r="N29" s="1">
        <f t="shared" si="8"/>
        <v>0</v>
      </c>
      <c r="O29" s="1">
        <f t="shared" si="8"/>
        <v>0</v>
      </c>
      <c r="P29" s="1">
        <f t="shared" si="8"/>
        <v>0</v>
      </c>
      <c r="Q29" s="1">
        <f t="shared" si="8"/>
        <v>12</v>
      </c>
      <c r="R29" s="1">
        <f t="shared" si="8"/>
        <v>0</v>
      </c>
      <c r="S29" s="1">
        <f t="shared" si="8"/>
        <v>132</v>
      </c>
      <c r="T29" s="1">
        <f t="shared" si="8"/>
        <v>10</v>
      </c>
      <c r="U29" s="1">
        <f t="shared" si="8"/>
        <v>30</v>
      </c>
      <c r="V29" s="1">
        <f t="shared" si="8"/>
        <v>5</v>
      </c>
      <c r="W29" s="1">
        <f t="shared" si="8"/>
        <v>0</v>
      </c>
      <c r="X29" s="1">
        <f t="shared" si="8"/>
        <v>10</v>
      </c>
      <c r="Y29" s="82">
        <f t="shared" si="8"/>
        <v>0</v>
      </c>
      <c r="Z29" s="1">
        <f t="shared" si="8"/>
        <v>187</v>
      </c>
      <c r="AA29" s="182">
        <f t="shared" si="8"/>
        <v>81</v>
      </c>
      <c r="AB29" s="5">
        <f t="shared" si="8"/>
        <v>37375.6824</v>
      </c>
      <c r="AC29" s="5">
        <f t="shared" si="8"/>
        <v>6724.255322957623</v>
      </c>
      <c r="AD29" s="5">
        <f t="shared" si="8"/>
        <v>44099.93772295762</v>
      </c>
      <c r="AE29" s="176">
        <f>AD29/$AD$66</f>
        <v>0.04621892681661167</v>
      </c>
      <c r="AF29" s="5">
        <f t="shared" si="8"/>
        <v>88199.87544591524</v>
      </c>
    </row>
    <row r="30" spans="1:32" ht="12.75">
      <c r="A30" s="1"/>
      <c r="E30" s="44"/>
      <c r="G30" s="49"/>
      <c r="H30" s="49"/>
      <c r="I30" s="49"/>
      <c r="J30" s="49"/>
      <c r="K30" s="49"/>
      <c r="L30" s="49"/>
      <c r="M30" s="49"/>
      <c r="N30" s="49"/>
      <c r="O30" s="49"/>
      <c r="P30" s="49"/>
      <c r="Q30" s="49"/>
      <c r="R30" s="49"/>
      <c r="Y30" s="44"/>
      <c r="AB30" s="131"/>
      <c r="AC30" s="131"/>
      <c r="AD30" s="131"/>
      <c r="AE30" s="172"/>
      <c r="AF30" s="131"/>
    </row>
    <row r="31" spans="1:32" ht="12.75">
      <c r="A31" s="1" t="s">
        <v>72</v>
      </c>
      <c r="B31" s="150" t="s">
        <v>16</v>
      </c>
      <c r="E31" s="44"/>
      <c r="G31" s="49"/>
      <c r="H31" s="49"/>
      <c r="I31" s="49"/>
      <c r="J31" s="49"/>
      <c r="K31" s="49"/>
      <c r="L31" s="49"/>
      <c r="M31" s="49"/>
      <c r="N31" s="49"/>
      <c r="O31" s="49"/>
      <c r="P31" s="49"/>
      <c r="Q31" s="49"/>
      <c r="R31" s="49"/>
      <c r="Y31" s="44"/>
      <c r="AB31" s="131"/>
      <c r="AC31" s="131"/>
      <c r="AD31" s="131"/>
      <c r="AE31" s="172"/>
      <c r="AF31" s="131"/>
    </row>
    <row r="32" spans="1:32" ht="12.75">
      <c r="A32" s="6" t="s">
        <v>211</v>
      </c>
      <c r="B32">
        <v>1</v>
      </c>
      <c r="D32">
        <v>2</v>
      </c>
      <c r="E32" s="44">
        <v>0</v>
      </c>
      <c r="G32" s="49">
        <v>10</v>
      </c>
      <c r="H32" s="49">
        <v>10</v>
      </c>
      <c r="I32" s="49">
        <v>10</v>
      </c>
      <c r="J32" s="49">
        <v>5</v>
      </c>
      <c r="K32" s="49"/>
      <c r="L32" s="49">
        <v>10</v>
      </c>
      <c r="M32" s="49">
        <v>10</v>
      </c>
      <c r="N32" s="49"/>
      <c r="O32" s="49"/>
      <c r="P32" s="49"/>
      <c r="Q32" s="49"/>
      <c r="R32" s="49"/>
      <c r="S32">
        <v>35</v>
      </c>
      <c r="T32" s="49"/>
      <c r="U32" s="49">
        <v>20</v>
      </c>
      <c r="V32">
        <v>10</v>
      </c>
      <c r="Y32" s="286">
        <v>0</v>
      </c>
      <c r="Z32" s="6">
        <f>SUM(S32:X32)</f>
        <v>65</v>
      </c>
      <c r="AA32" s="186">
        <f>SUM(B32:R32)</f>
        <v>58</v>
      </c>
      <c r="AB32" s="131">
        <f>SUMPRODUCT(B32:R32,$B$6:$R$6)</f>
        <v>24777.1216</v>
      </c>
      <c r="AC32" s="131">
        <f>+(AA32/$AA$66)*($AA$73+$AA$74+$AB$80)</f>
        <v>4814.898873228916</v>
      </c>
      <c r="AD32" s="29">
        <f>AB32+AC32</f>
        <v>29592.020473228913</v>
      </c>
      <c r="AE32" s="173"/>
      <c r="AF32" s="132">
        <f>AD32*2</f>
        <v>59184.040946457826</v>
      </c>
    </row>
    <row r="33" spans="1:32" ht="12.75">
      <c r="A33" s="6" t="s">
        <v>63</v>
      </c>
      <c r="B33">
        <v>0.5</v>
      </c>
      <c r="D33">
        <v>1</v>
      </c>
      <c r="E33" s="44">
        <v>0</v>
      </c>
      <c r="G33" s="49">
        <v>1</v>
      </c>
      <c r="H33" s="49">
        <v>1</v>
      </c>
      <c r="I33" s="49">
        <v>1</v>
      </c>
      <c r="J33" s="49"/>
      <c r="K33" s="49"/>
      <c r="L33" s="49"/>
      <c r="M33" s="49">
        <v>1</v>
      </c>
      <c r="N33" s="49"/>
      <c r="O33" s="49"/>
      <c r="P33" s="49"/>
      <c r="Q33" s="49"/>
      <c r="R33" s="49"/>
      <c r="T33" s="49"/>
      <c r="U33" s="49"/>
      <c r="V33">
        <v>30</v>
      </c>
      <c r="Y33" s="286">
        <v>0</v>
      </c>
      <c r="Z33" s="6">
        <f>SUM(S33:X33)</f>
        <v>30</v>
      </c>
      <c r="AA33" s="186">
        <f>SUM(B33:R33)</f>
        <v>5.5</v>
      </c>
      <c r="AB33" s="131">
        <f>SUMPRODUCT(B33:R33,$B$6:$R$6)</f>
        <v>2794.71216</v>
      </c>
      <c r="AC33" s="131">
        <f>+(AA33/$AA$66)*($AA$73+$AA$74+$AB$80)</f>
        <v>456.5852379786041</v>
      </c>
      <c r="AD33" s="27">
        <f>AB33+AC33</f>
        <v>3251.2973979786043</v>
      </c>
      <c r="AE33" s="170"/>
      <c r="AF33" s="132">
        <f>AD33*2</f>
        <v>6502.594795957209</v>
      </c>
    </row>
    <row r="34" spans="5:34" ht="12.75">
      <c r="E34" s="44"/>
      <c r="G34" s="49"/>
      <c r="H34" s="49"/>
      <c r="I34" s="49"/>
      <c r="J34" s="49"/>
      <c r="K34" s="49"/>
      <c r="L34" s="49"/>
      <c r="M34" s="49"/>
      <c r="N34" s="49"/>
      <c r="O34" s="49"/>
      <c r="P34" s="49"/>
      <c r="Q34" s="49"/>
      <c r="R34" s="49"/>
      <c r="S34" s="6"/>
      <c r="T34" s="49"/>
      <c r="U34" s="49"/>
      <c r="V34" s="6">
        <v>5</v>
      </c>
      <c r="W34" s="6"/>
      <c r="X34" s="6">
        <v>5</v>
      </c>
      <c r="Y34" s="286">
        <v>0</v>
      </c>
      <c r="Z34" s="6">
        <f>SUM(S34:X34)</f>
        <v>10</v>
      </c>
      <c r="AB34" s="131"/>
      <c r="AC34" s="131"/>
      <c r="AD34" s="131"/>
      <c r="AE34" s="170"/>
      <c r="AF34" s="132">
        <f>AD34*2</f>
        <v>0</v>
      </c>
      <c r="AH34" s="1"/>
    </row>
    <row r="35" spans="5:34" ht="12.75">
      <c r="E35" s="44"/>
      <c r="G35" s="49"/>
      <c r="H35" s="49"/>
      <c r="I35" s="49"/>
      <c r="J35" s="49"/>
      <c r="K35" s="49"/>
      <c r="L35" s="49"/>
      <c r="M35" s="49"/>
      <c r="N35" s="49"/>
      <c r="O35" s="49"/>
      <c r="P35" s="49"/>
      <c r="Q35" s="49"/>
      <c r="R35" s="49"/>
      <c r="S35" s="6"/>
      <c r="T35" s="49"/>
      <c r="U35" s="49"/>
      <c r="V35" s="6"/>
      <c r="W35" s="6"/>
      <c r="X35" s="6"/>
      <c r="Y35" s="68"/>
      <c r="Z35" s="6"/>
      <c r="AB35" s="131"/>
      <c r="AC35" s="131"/>
      <c r="AD35" s="131"/>
      <c r="AE35" s="170"/>
      <c r="AF35" s="132"/>
      <c r="AH35" s="1"/>
    </row>
    <row r="36" spans="1:32" s="1" customFormat="1" ht="12.75">
      <c r="A36" s="4" t="s">
        <v>137</v>
      </c>
      <c r="B36" s="1">
        <f>SUM(B32:B35)</f>
        <v>1.5</v>
      </c>
      <c r="C36" s="1">
        <f aca="true" t="shared" si="9" ref="C36:AF36">SUM(C32:C35)</f>
        <v>0</v>
      </c>
      <c r="D36" s="1">
        <f t="shared" si="9"/>
        <v>3</v>
      </c>
      <c r="E36" s="82">
        <f t="shared" si="9"/>
        <v>0</v>
      </c>
      <c r="F36" s="1">
        <f t="shared" si="9"/>
        <v>0</v>
      </c>
      <c r="G36" s="1">
        <f t="shared" si="9"/>
        <v>11</v>
      </c>
      <c r="H36" s="1">
        <f t="shared" si="9"/>
        <v>11</v>
      </c>
      <c r="I36" s="1">
        <f t="shared" si="9"/>
        <v>11</v>
      </c>
      <c r="J36" s="1">
        <f t="shared" si="9"/>
        <v>5</v>
      </c>
      <c r="K36" s="1">
        <f t="shared" si="9"/>
        <v>0</v>
      </c>
      <c r="L36" s="1">
        <f t="shared" si="9"/>
        <v>10</v>
      </c>
      <c r="M36" s="1">
        <f t="shared" si="9"/>
        <v>11</v>
      </c>
      <c r="N36" s="1">
        <f t="shared" si="9"/>
        <v>0</v>
      </c>
      <c r="O36" s="1">
        <f t="shared" si="9"/>
        <v>0</v>
      </c>
      <c r="P36" s="1">
        <f t="shared" si="9"/>
        <v>0</v>
      </c>
      <c r="Q36" s="1">
        <f t="shared" si="9"/>
        <v>0</v>
      </c>
      <c r="R36" s="1">
        <f t="shared" si="9"/>
        <v>0</v>
      </c>
      <c r="S36" s="1">
        <f t="shared" si="9"/>
        <v>35</v>
      </c>
      <c r="T36" s="1">
        <f t="shared" si="9"/>
        <v>0</v>
      </c>
      <c r="U36" s="1">
        <f t="shared" si="9"/>
        <v>20</v>
      </c>
      <c r="V36" s="1">
        <f t="shared" si="9"/>
        <v>45</v>
      </c>
      <c r="W36" s="1">
        <f t="shared" si="9"/>
        <v>0</v>
      </c>
      <c r="X36" s="1">
        <f t="shared" si="9"/>
        <v>5</v>
      </c>
      <c r="Y36" s="82">
        <f t="shared" si="9"/>
        <v>0</v>
      </c>
      <c r="Z36" s="1">
        <f t="shared" si="9"/>
        <v>105</v>
      </c>
      <c r="AA36" s="182">
        <f t="shared" si="9"/>
        <v>63.5</v>
      </c>
      <c r="AB36" s="148">
        <f t="shared" si="9"/>
        <v>27571.833759999998</v>
      </c>
      <c r="AC36" s="148">
        <f t="shared" si="9"/>
        <v>5271.48411120752</v>
      </c>
      <c r="AD36" s="148">
        <f t="shared" si="9"/>
        <v>32843.31787120752</v>
      </c>
      <c r="AE36" s="176">
        <f>AD36/$AD$66</f>
        <v>0.034421429677299074</v>
      </c>
      <c r="AF36" s="148">
        <f t="shared" si="9"/>
        <v>65686.63574241503</v>
      </c>
    </row>
    <row r="37" spans="1:32" s="1" customFormat="1" ht="12.75">
      <c r="A37" s="4"/>
      <c r="E37" s="82"/>
      <c r="G37" s="50"/>
      <c r="H37" s="50"/>
      <c r="I37" s="50"/>
      <c r="J37" s="50"/>
      <c r="K37" s="50"/>
      <c r="L37" s="50"/>
      <c r="M37" s="50"/>
      <c r="N37" s="50"/>
      <c r="O37" s="50"/>
      <c r="P37" s="50"/>
      <c r="Q37" s="50"/>
      <c r="R37" s="50"/>
      <c r="Y37" s="82"/>
      <c r="AA37" s="186"/>
      <c r="AB37" s="131"/>
      <c r="AC37" s="131"/>
      <c r="AD37" s="131"/>
      <c r="AE37" s="172"/>
      <c r="AF37" s="131"/>
    </row>
    <row r="38" spans="1:32" ht="12.75">
      <c r="A38" s="1" t="s">
        <v>73</v>
      </c>
      <c r="E38" s="44"/>
      <c r="G38" s="49"/>
      <c r="H38" s="49"/>
      <c r="I38" s="49"/>
      <c r="J38" s="49"/>
      <c r="K38" s="49"/>
      <c r="L38" s="49"/>
      <c r="M38" s="49"/>
      <c r="N38" s="49"/>
      <c r="O38" s="49"/>
      <c r="P38" s="49"/>
      <c r="Q38" s="49"/>
      <c r="R38" s="49"/>
      <c r="Y38" s="44"/>
      <c r="AB38" s="131"/>
      <c r="AC38" s="131"/>
      <c r="AD38" s="131"/>
      <c r="AE38" s="172"/>
      <c r="AF38" s="131"/>
    </row>
    <row r="39" spans="1:32" ht="12.75">
      <c r="A39" t="s">
        <v>204</v>
      </c>
      <c r="C39" s="6"/>
      <c r="D39">
        <v>5</v>
      </c>
      <c r="E39" s="44">
        <v>0</v>
      </c>
      <c r="G39" s="49"/>
      <c r="H39" s="49">
        <v>30</v>
      </c>
      <c r="I39" s="49"/>
      <c r="J39" s="49"/>
      <c r="K39" s="49"/>
      <c r="L39" s="49"/>
      <c r="M39" s="49">
        <v>20</v>
      </c>
      <c r="N39" s="49"/>
      <c r="O39" s="49"/>
      <c r="P39" s="49"/>
      <c r="Q39" s="49"/>
      <c r="R39" s="49"/>
      <c r="S39">
        <v>5</v>
      </c>
      <c r="T39">
        <v>5</v>
      </c>
      <c r="V39">
        <v>2</v>
      </c>
      <c r="X39">
        <v>5</v>
      </c>
      <c r="Y39" s="286">
        <v>0.25</v>
      </c>
      <c r="Z39" s="6">
        <f>SUM(S39:X39)</f>
        <v>17</v>
      </c>
      <c r="AA39" s="186">
        <f>SUM(B39:R39)</f>
        <v>55</v>
      </c>
      <c r="AB39" s="131">
        <f>SUMPRODUCT(B39:R39,$B$6:$R$6)</f>
        <v>21566.3648</v>
      </c>
      <c r="AC39" s="131">
        <f>+(AA39/$AA$66)*($AA$73+$AA$74+$AB$80)</f>
        <v>4565.852379786041</v>
      </c>
      <c r="AD39" s="29">
        <f>AB39+AC39</f>
        <v>26132.21717978604</v>
      </c>
      <c r="AE39" s="173"/>
      <c r="AF39" s="132">
        <f>AD39*2</f>
        <v>52264.43435957208</v>
      </c>
    </row>
    <row r="40" spans="1:32" ht="12.75">
      <c r="A40" t="s">
        <v>205</v>
      </c>
      <c r="C40" s="6"/>
      <c r="D40">
        <v>5</v>
      </c>
      <c r="E40" s="44">
        <v>0</v>
      </c>
      <c r="G40" s="49">
        <v>30</v>
      </c>
      <c r="H40" s="49"/>
      <c r="I40" s="49"/>
      <c r="J40" s="49">
        <v>10</v>
      </c>
      <c r="K40" s="49">
        <v>3</v>
      </c>
      <c r="L40" s="49"/>
      <c r="M40" s="49">
        <v>10</v>
      </c>
      <c r="N40" s="49"/>
      <c r="O40" s="49"/>
      <c r="P40" s="49"/>
      <c r="Q40" s="49"/>
      <c r="R40" s="49"/>
      <c r="S40">
        <v>5</v>
      </c>
      <c r="T40" s="49">
        <v>5</v>
      </c>
      <c r="U40" s="49"/>
      <c r="V40">
        <v>2</v>
      </c>
      <c r="X40">
        <v>5</v>
      </c>
      <c r="Y40" s="286">
        <v>0.25</v>
      </c>
      <c r="Z40" s="6">
        <f>SUM(S40:X40)</f>
        <v>17</v>
      </c>
      <c r="AA40" s="186">
        <f>SUM(B40:R40)</f>
        <v>58</v>
      </c>
      <c r="AB40" s="131">
        <f>SUMPRODUCT(B40:R40,$B$6:$R$6)</f>
        <v>26075</v>
      </c>
      <c r="AC40" s="131">
        <f>+(AA40/$AA$66)*($AA$73+$AA$74+$AB$80)</f>
        <v>4814.898873228916</v>
      </c>
      <c r="AD40" s="29">
        <f>AB40+AC40</f>
        <v>30889.898873228914</v>
      </c>
      <c r="AE40" s="173"/>
      <c r="AF40" s="132">
        <f>AD40*2</f>
        <v>61779.79774645783</v>
      </c>
    </row>
    <row r="41" spans="1:32" ht="12.75">
      <c r="A41" t="s">
        <v>206</v>
      </c>
      <c r="C41" s="6"/>
      <c r="D41">
        <v>5</v>
      </c>
      <c r="E41" s="44">
        <v>0</v>
      </c>
      <c r="G41" s="49"/>
      <c r="H41" s="49"/>
      <c r="I41" s="49">
        <v>30</v>
      </c>
      <c r="J41" s="49">
        <v>10</v>
      </c>
      <c r="K41" s="49"/>
      <c r="L41" s="49">
        <v>2.95</v>
      </c>
      <c r="M41" s="49">
        <v>10</v>
      </c>
      <c r="N41" s="49"/>
      <c r="O41" s="49"/>
      <c r="P41" s="49"/>
      <c r="Q41" s="49"/>
      <c r="R41" s="49"/>
      <c r="S41">
        <v>5</v>
      </c>
      <c r="T41" s="49">
        <v>5</v>
      </c>
      <c r="U41" s="49"/>
      <c r="V41">
        <v>2</v>
      </c>
      <c r="X41">
        <v>5</v>
      </c>
      <c r="Y41" s="286">
        <v>0.25</v>
      </c>
      <c r="Z41" s="6">
        <f>SUM(S41:X41)</f>
        <v>17</v>
      </c>
      <c r="AA41" s="186">
        <f>SUM(B41:R41)</f>
        <v>57.95</v>
      </c>
      <c r="AB41" s="131">
        <f>SUMPRODUCT(B41:R41,$B$6:$R$6)</f>
        <v>25455</v>
      </c>
      <c r="AC41" s="131">
        <f>+(AA41/$AA$66)*($AA$73+$AA$74+$AB$80)</f>
        <v>4810.748098338202</v>
      </c>
      <c r="AD41" s="27">
        <f>AB41+AC41</f>
        <v>30265.7480983382</v>
      </c>
      <c r="AE41" s="170"/>
      <c r="AF41" s="132">
        <f>AD41*2</f>
        <v>60531.4961966764</v>
      </c>
    </row>
    <row r="42" spans="3:34" ht="12.75">
      <c r="C42" s="6"/>
      <c r="E42" s="44"/>
      <c r="G42" s="49"/>
      <c r="H42" s="49"/>
      <c r="I42" s="49"/>
      <c r="J42" s="49"/>
      <c r="K42" s="49"/>
      <c r="L42" s="49"/>
      <c r="M42" s="49"/>
      <c r="N42" s="49"/>
      <c r="O42" s="49"/>
      <c r="P42" s="49"/>
      <c r="Q42" s="49"/>
      <c r="R42" s="49"/>
      <c r="S42" s="6"/>
      <c r="T42" s="49"/>
      <c r="U42" s="49"/>
      <c r="V42" s="6"/>
      <c r="W42" s="6"/>
      <c r="X42" s="6"/>
      <c r="Y42" s="286"/>
      <c r="Z42" s="6"/>
      <c r="AB42" s="131"/>
      <c r="AC42" s="131"/>
      <c r="AD42" s="131"/>
      <c r="AE42" s="170"/>
      <c r="AF42" s="132">
        <f>AD42*2</f>
        <v>0</v>
      </c>
      <c r="AH42" s="1"/>
    </row>
    <row r="43" spans="5:34" ht="12.75">
      <c r="E43" s="44"/>
      <c r="G43" s="49"/>
      <c r="H43" s="49"/>
      <c r="I43" s="49"/>
      <c r="J43" s="49"/>
      <c r="K43" s="49"/>
      <c r="L43" s="49"/>
      <c r="M43" s="49"/>
      <c r="N43" s="49"/>
      <c r="O43" s="49"/>
      <c r="P43" s="49"/>
      <c r="Q43" s="49"/>
      <c r="R43" s="49"/>
      <c r="S43" s="6"/>
      <c r="T43" s="49"/>
      <c r="U43" s="49"/>
      <c r="V43" s="6"/>
      <c r="W43" s="6"/>
      <c r="X43" s="6"/>
      <c r="Y43" s="68"/>
      <c r="Z43" s="6"/>
      <c r="AB43" s="131"/>
      <c r="AC43" s="131"/>
      <c r="AD43" s="131"/>
      <c r="AE43" s="170"/>
      <c r="AF43" s="132"/>
      <c r="AH43" s="1"/>
    </row>
    <row r="44" spans="1:32" s="1" customFormat="1" ht="12.75">
      <c r="A44" s="4" t="s">
        <v>147</v>
      </c>
      <c r="B44" s="1">
        <f>SUM(B39:B43)</f>
        <v>0</v>
      </c>
      <c r="C44" s="1">
        <f aca="true" t="shared" si="10" ref="C44:AA44">SUM(C39:C43)</f>
        <v>0</v>
      </c>
      <c r="D44" s="1">
        <f t="shared" si="10"/>
        <v>15</v>
      </c>
      <c r="E44" s="82">
        <f t="shared" si="10"/>
        <v>0</v>
      </c>
      <c r="F44" s="1">
        <f t="shared" si="10"/>
        <v>0</v>
      </c>
      <c r="G44" s="1">
        <f t="shared" si="10"/>
        <v>30</v>
      </c>
      <c r="H44" s="1">
        <f t="shared" si="10"/>
        <v>30</v>
      </c>
      <c r="I44" s="1">
        <f t="shared" si="10"/>
        <v>30</v>
      </c>
      <c r="J44" s="1">
        <f t="shared" si="10"/>
        <v>20</v>
      </c>
      <c r="K44" s="1">
        <f t="shared" si="10"/>
        <v>3</v>
      </c>
      <c r="L44" s="1">
        <v>3</v>
      </c>
      <c r="M44" s="1">
        <f t="shared" si="10"/>
        <v>40</v>
      </c>
      <c r="N44" s="1">
        <f t="shared" si="10"/>
        <v>0</v>
      </c>
      <c r="O44" s="1">
        <f t="shared" si="10"/>
        <v>0</v>
      </c>
      <c r="P44" s="1">
        <f t="shared" si="10"/>
        <v>0</v>
      </c>
      <c r="Q44" s="1">
        <f t="shared" si="10"/>
        <v>0</v>
      </c>
      <c r="R44" s="1">
        <f t="shared" si="10"/>
        <v>0</v>
      </c>
      <c r="S44" s="1">
        <f t="shared" si="10"/>
        <v>15</v>
      </c>
      <c r="T44" s="1">
        <f t="shared" si="10"/>
        <v>15</v>
      </c>
      <c r="U44" s="1">
        <f t="shared" si="10"/>
        <v>0</v>
      </c>
      <c r="V44" s="1">
        <f t="shared" si="10"/>
        <v>6</v>
      </c>
      <c r="W44" s="1">
        <f t="shared" si="10"/>
        <v>0</v>
      </c>
      <c r="X44" s="1">
        <f t="shared" si="10"/>
        <v>15</v>
      </c>
      <c r="Y44" s="82">
        <f t="shared" si="10"/>
        <v>0.75</v>
      </c>
      <c r="Z44" s="1">
        <f t="shared" si="10"/>
        <v>51</v>
      </c>
      <c r="AA44" s="182">
        <f t="shared" si="10"/>
        <v>170.95</v>
      </c>
      <c r="AB44" s="5">
        <f>SUM(AB39:AB43)</f>
        <v>73096.3648</v>
      </c>
      <c r="AC44" s="5">
        <f>SUM(AC39:AC43)</f>
        <v>14191.499351353159</v>
      </c>
      <c r="AD44" s="5">
        <f>SUM(AD39:AD43)</f>
        <v>87287.86415135315</v>
      </c>
      <c r="AE44" s="176">
        <f>AD44/$AD$66</f>
        <v>0.0914820204630249</v>
      </c>
      <c r="AF44" s="5">
        <f>SUM(AF39:AF43)</f>
        <v>174575.7283027063</v>
      </c>
    </row>
    <row r="45" spans="1:32" s="1" customFormat="1" ht="12.75">
      <c r="A45" s="4"/>
      <c r="E45" s="82"/>
      <c r="G45" s="50"/>
      <c r="H45" s="50"/>
      <c r="I45" s="50"/>
      <c r="J45" s="50"/>
      <c r="K45" s="50"/>
      <c r="L45" s="50"/>
      <c r="M45" s="50"/>
      <c r="N45" s="50"/>
      <c r="O45" s="50"/>
      <c r="P45" s="50"/>
      <c r="Q45" s="50"/>
      <c r="R45" s="50"/>
      <c r="Y45" s="82"/>
      <c r="AA45" s="186"/>
      <c r="AB45" s="131"/>
      <c r="AC45" s="131"/>
      <c r="AD45" s="131"/>
      <c r="AE45" s="172"/>
      <c r="AF45" s="131"/>
    </row>
    <row r="46" spans="1:32" s="1" customFormat="1" ht="12.75">
      <c r="A46" s="1" t="s">
        <v>75</v>
      </c>
      <c r="B46"/>
      <c r="C46"/>
      <c r="D46"/>
      <c r="E46" s="44"/>
      <c r="F46"/>
      <c r="G46" s="49"/>
      <c r="H46" s="49"/>
      <c r="I46" s="49"/>
      <c r="J46" s="49"/>
      <c r="K46" s="50"/>
      <c r="L46" s="50"/>
      <c r="M46" s="50"/>
      <c r="N46" s="50"/>
      <c r="O46" s="50"/>
      <c r="P46" s="50"/>
      <c r="Q46" s="50"/>
      <c r="R46" s="50"/>
      <c r="Y46" s="82"/>
      <c r="AA46" s="186"/>
      <c r="AB46" s="131"/>
      <c r="AC46" s="131"/>
      <c r="AD46" s="131"/>
      <c r="AE46" s="170"/>
      <c r="AF46" s="131"/>
    </row>
    <row r="47" spans="1:35" s="1" customFormat="1" ht="12.75">
      <c r="A47" t="s">
        <v>191</v>
      </c>
      <c r="B47" s="6">
        <v>5</v>
      </c>
      <c r="C47" s="301"/>
      <c r="D47" s="6">
        <v>13</v>
      </c>
      <c r="E47" s="68">
        <v>13.5</v>
      </c>
      <c r="F47" s="6">
        <v>0</v>
      </c>
      <c r="G47" s="49">
        <v>20</v>
      </c>
      <c r="H47" s="49">
        <v>30</v>
      </c>
      <c r="I47" s="49">
        <v>15</v>
      </c>
      <c r="J47" s="49">
        <v>25</v>
      </c>
      <c r="K47" s="128"/>
      <c r="L47" s="128"/>
      <c r="M47" s="49">
        <v>20</v>
      </c>
      <c r="N47" s="52"/>
      <c r="O47" s="52">
        <v>5</v>
      </c>
      <c r="P47" s="52">
        <v>5</v>
      </c>
      <c r="Q47" s="52"/>
      <c r="R47" s="49">
        <v>10</v>
      </c>
      <c r="S47"/>
      <c r="T47" s="49">
        <v>20</v>
      </c>
      <c r="U47" s="49"/>
      <c r="V47">
        <v>5</v>
      </c>
      <c r="W47">
        <v>15</v>
      </c>
      <c r="X47">
        <v>15</v>
      </c>
      <c r="Y47" s="286">
        <v>5</v>
      </c>
      <c r="Z47" s="6">
        <f>SUM(S47:X47)</f>
        <v>55</v>
      </c>
      <c r="AA47" s="186">
        <f>SUM(B47:R47)</f>
        <v>161.5</v>
      </c>
      <c r="AB47" s="131">
        <f>SUMPRODUCT(B47:R47,$B$6:$R$6)</f>
        <v>81188.8648</v>
      </c>
      <c r="AC47" s="131">
        <f>+(AA47/$AA$66)*($AA$73+$AA$74+$AB$80)</f>
        <v>13407.002897008102</v>
      </c>
      <c r="AD47" s="29">
        <f>AB47+AC47</f>
        <v>94595.8676970081</v>
      </c>
      <c r="AE47" s="173"/>
      <c r="AF47" s="132">
        <f>AD47*2</f>
        <v>189191.7353940162</v>
      </c>
      <c r="AG47"/>
      <c r="AH47"/>
      <c r="AI47"/>
    </row>
    <row r="48" spans="1:35" s="1" customFormat="1" ht="12.75">
      <c r="A48" s="6" t="s">
        <v>208</v>
      </c>
      <c r="B48" s="6">
        <v>5</v>
      </c>
      <c r="C48" s="6"/>
      <c r="D48" s="6">
        <v>15</v>
      </c>
      <c r="E48" s="68">
        <v>15.5</v>
      </c>
      <c r="F48" s="6">
        <v>1</v>
      </c>
      <c r="G48" s="49">
        <v>20</v>
      </c>
      <c r="H48" s="49">
        <v>45</v>
      </c>
      <c r="I48" s="49">
        <v>20</v>
      </c>
      <c r="J48" s="49">
        <v>30</v>
      </c>
      <c r="K48" s="128"/>
      <c r="L48" s="128"/>
      <c r="M48" s="49">
        <v>20</v>
      </c>
      <c r="N48" s="49"/>
      <c r="O48" s="49"/>
      <c r="P48" s="49"/>
      <c r="Q48" s="49"/>
      <c r="R48" s="49"/>
      <c r="S48"/>
      <c r="T48" s="49">
        <v>20</v>
      </c>
      <c r="U48" s="49"/>
      <c r="V48">
        <v>5</v>
      </c>
      <c r="W48">
        <v>15</v>
      </c>
      <c r="X48">
        <v>15</v>
      </c>
      <c r="Y48" s="286">
        <v>5.5</v>
      </c>
      <c r="Z48" s="6">
        <f>SUM(S48:X48)</f>
        <v>55</v>
      </c>
      <c r="AA48" s="186">
        <f>SUM(B48:R48)</f>
        <v>171.5</v>
      </c>
      <c r="AB48" s="131">
        <f>SUMPRODUCT(B48:R48,$B$6:$R$6)</f>
        <v>78894.5472</v>
      </c>
      <c r="AC48" s="131">
        <f>+(AA48/$AA$66)*($AA$73+$AA$74+$AB$80)</f>
        <v>14237.157875151017</v>
      </c>
      <c r="AD48" s="29">
        <f>AB48+AC48</f>
        <v>93131.70507515103</v>
      </c>
      <c r="AE48" s="173"/>
      <c r="AF48" s="132">
        <f>AD48*2</f>
        <v>186263.41015030205</v>
      </c>
      <c r="AG48"/>
      <c r="AH48"/>
      <c r="AI48"/>
    </row>
    <row r="49" spans="1:33" s="1" customFormat="1" ht="12.75">
      <c r="A49" t="s">
        <v>214</v>
      </c>
      <c r="B49" s="6">
        <v>10</v>
      </c>
      <c r="C49" s="6">
        <v>5</v>
      </c>
      <c r="D49" s="6">
        <v>5</v>
      </c>
      <c r="E49" s="68">
        <v>30</v>
      </c>
      <c r="F49" s="6">
        <v>1</v>
      </c>
      <c r="G49" s="49">
        <v>20</v>
      </c>
      <c r="H49" s="49">
        <v>60</v>
      </c>
      <c r="I49" s="49">
        <v>15</v>
      </c>
      <c r="J49" s="49">
        <v>70</v>
      </c>
      <c r="K49" s="49">
        <v>10</v>
      </c>
      <c r="L49" s="49"/>
      <c r="M49" s="49">
        <v>50</v>
      </c>
      <c r="N49" s="49">
        <v>10</v>
      </c>
      <c r="O49" s="49">
        <v>15</v>
      </c>
      <c r="P49" s="49">
        <v>10</v>
      </c>
      <c r="Q49" s="49"/>
      <c r="R49" s="49">
        <v>10</v>
      </c>
      <c r="S49" s="6"/>
      <c r="T49" s="49">
        <v>20</v>
      </c>
      <c r="U49" s="49"/>
      <c r="V49" s="6">
        <v>5</v>
      </c>
      <c r="W49">
        <v>15</v>
      </c>
      <c r="X49">
        <v>15</v>
      </c>
      <c r="Y49" s="286">
        <v>7.5</v>
      </c>
      <c r="Z49" s="6">
        <f>SUM(S49:X49)</f>
        <v>55</v>
      </c>
      <c r="AA49" s="186">
        <f>SUM(B49:R49)</f>
        <v>321</v>
      </c>
      <c r="AB49" s="131">
        <f>SUMPRODUCT(B49:R49,$B$6:$R$6)</f>
        <v>157972.7296</v>
      </c>
      <c r="AC49" s="131">
        <f>+(AA49/$AA$66)*($AA$73+$AA$74+$AB$80)</f>
        <v>26647.974798387622</v>
      </c>
      <c r="AD49" s="29">
        <f>AB49+AC49</f>
        <v>184620.7043983876</v>
      </c>
      <c r="AE49" s="173"/>
      <c r="AF49" s="132">
        <f>AD49*2</f>
        <v>369241.4087967752</v>
      </c>
      <c r="AG49"/>
    </row>
    <row r="50" spans="1:33" s="1" customFormat="1" ht="12.75">
      <c r="A50" t="s">
        <v>190</v>
      </c>
      <c r="B50" s="6">
        <v>3</v>
      </c>
      <c r="C50" s="6"/>
      <c r="D50" s="6">
        <v>5</v>
      </c>
      <c r="E50" s="68">
        <v>1.5</v>
      </c>
      <c r="F50" s="6">
        <v>0</v>
      </c>
      <c r="G50" s="49">
        <v>10</v>
      </c>
      <c r="H50" s="49">
        <v>20</v>
      </c>
      <c r="I50" s="49">
        <v>10</v>
      </c>
      <c r="J50" s="49">
        <v>10</v>
      </c>
      <c r="K50" s="49"/>
      <c r="L50" s="49"/>
      <c r="M50" s="49">
        <v>10</v>
      </c>
      <c r="N50" s="49">
        <v>6</v>
      </c>
      <c r="O50" s="49"/>
      <c r="P50" s="49"/>
      <c r="Q50" s="49"/>
      <c r="R50" s="49"/>
      <c r="S50" s="6"/>
      <c r="T50" s="49"/>
      <c r="U50" s="49"/>
      <c r="V50" s="6">
        <v>5</v>
      </c>
      <c r="W50">
        <v>15</v>
      </c>
      <c r="X50">
        <v>15</v>
      </c>
      <c r="Y50" s="286">
        <v>1.5</v>
      </c>
      <c r="Z50" s="6">
        <f>SUM(S50:X50)</f>
        <v>35</v>
      </c>
      <c r="AA50" s="186">
        <f>SUM(B50:R50)</f>
        <v>75.5</v>
      </c>
      <c r="AB50" s="131">
        <f>SUMPRODUCT(B50:R50,$B$6:$R$6)</f>
        <v>33791.7432</v>
      </c>
      <c r="AC50" s="131">
        <f>+(AA50/$AA$66)*($AA$73+$AA$74+$AB$80)</f>
        <v>6267.6700849790195</v>
      </c>
      <c r="AD50" s="29">
        <f>AB50+AC50</f>
        <v>40059.41328497902</v>
      </c>
      <c r="AE50" s="173"/>
      <c r="AF50" s="132">
        <f>AD50*2</f>
        <v>80118.82656995804</v>
      </c>
      <c r="AG50"/>
    </row>
    <row r="51" spans="1:33" s="1" customFormat="1" ht="12.75">
      <c r="A51" t="s">
        <v>4</v>
      </c>
      <c r="B51" s="6">
        <v>4</v>
      </c>
      <c r="C51" s="6"/>
      <c r="D51" s="6">
        <v>4</v>
      </c>
      <c r="E51" s="68">
        <v>1.5</v>
      </c>
      <c r="F51" s="6">
        <v>0</v>
      </c>
      <c r="G51" s="49">
        <v>10</v>
      </c>
      <c r="H51" s="49">
        <v>10</v>
      </c>
      <c r="I51" s="49">
        <v>10</v>
      </c>
      <c r="J51" s="49">
        <v>20</v>
      </c>
      <c r="K51" s="49"/>
      <c r="L51" s="49"/>
      <c r="M51" s="49">
        <v>10</v>
      </c>
      <c r="N51" s="49"/>
      <c r="O51" s="49"/>
      <c r="P51" s="49"/>
      <c r="Q51" s="49"/>
      <c r="R51" s="49"/>
      <c r="S51" s="6"/>
      <c r="T51" s="49"/>
      <c r="U51" s="49"/>
      <c r="V51" s="6">
        <v>5</v>
      </c>
      <c r="W51"/>
      <c r="X51">
        <v>15</v>
      </c>
      <c r="Y51" s="286">
        <v>1.5</v>
      </c>
      <c r="Z51" s="6">
        <f>SUM(S51:X51)</f>
        <v>20</v>
      </c>
      <c r="AA51" s="186">
        <f>SUM(B51:R51)</f>
        <v>69.5</v>
      </c>
      <c r="AB51" s="131">
        <f>SUMPRODUCT(B51:R51,$B$6:$R$6)</f>
        <v>32679.6216</v>
      </c>
      <c r="AC51" s="131">
        <f>+(AA51/$AA$66)*($AA$73+$AA$74+$AB$80)</f>
        <v>5769.577098093269</v>
      </c>
      <c r="AD51" s="29">
        <f>AB51+AC51</f>
        <v>38449.19869809327</v>
      </c>
      <c r="AE51" s="173"/>
      <c r="AF51" s="132">
        <f>AD51*2</f>
        <v>76898.39739618654</v>
      </c>
      <c r="AG51"/>
    </row>
    <row r="52" spans="1:33" s="1" customFormat="1" ht="12.75">
      <c r="A52"/>
      <c r="B52"/>
      <c r="C52"/>
      <c r="D52"/>
      <c r="E52" s="44"/>
      <c r="F52"/>
      <c r="G52" s="49"/>
      <c r="H52" s="49"/>
      <c r="I52" s="49"/>
      <c r="J52" s="49"/>
      <c r="K52" s="49"/>
      <c r="L52" s="49"/>
      <c r="M52" s="49"/>
      <c r="N52" s="49"/>
      <c r="O52" s="49"/>
      <c r="P52" s="49"/>
      <c r="Q52" s="49"/>
      <c r="R52" s="49"/>
      <c r="S52" s="6"/>
      <c r="T52" s="49"/>
      <c r="U52" s="49"/>
      <c r="V52" s="6"/>
      <c r="W52" s="6"/>
      <c r="X52" s="6"/>
      <c r="Y52" s="68"/>
      <c r="Z52" s="6"/>
      <c r="AA52" s="186"/>
      <c r="AB52" s="131"/>
      <c r="AC52" s="131"/>
      <c r="AD52" s="131"/>
      <c r="AE52" s="173"/>
      <c r="AF52" s="132"/>
      <c r="AG52"/>
    </row>
    <row r="53" spans="1:32" s="1" customFormat="1" ht="12.75">
      <c r="A53" s="4" t="s">
        <v>90</v>
      </c>
      <c r="B53" s="1">
        <f>SUM(B47:B52)</f>
        <v>27</v>
      </c>
      <c r="C53" s="129">
        <f aca="true" t="shared" si="11" ref="C53:AF53">SUM(C47:C52)</f>
        <v>5</v>
      </c>
      <c r="D53" s="1">
        <f t="shared" si="11"/>
        <v>42</v>
      </c>
      <c r="E53" s="82">
        <f t="shared" si="11"/>
        <v>62</v>
      </c>
      <c r="F53" s="1">
        <f t="shared" si="11"/>
        <v>2</v>
      </c>
      <c r="G53" s="1">
        <f t="shared" si="11"/>
        <v>80</v>
      </c>
      <c r="H53" s="1">
        <f t="shared" si="11"/>
        <v>165</v>
      </c>
      <c r="I53" s="1">
        <f t="shared" si="11"/>
        <v>70</v>
      </c>
      <c r="J53" s="1">
        <f t="shared" si="11"/>
        <v>155</v>
      </c>
      <c r="K53" s="1">
        <f t="shared" si="11"/>
        <v>10</v>
      </c>
      <c r="L53" s="1">
        <f t="shared" si="11"/>
        <v>0</v>
      </c>
      <c r="M53" s="1">
        <f t="shared" si="11"/>
        <v>110</v>
      </c>
      <c r="N53" s="1">
        <f t="shared" si="11"/>
        <v>16</v>
      </c>
      <c r="O53" s="1">
        <f t="shared" si="11"/>
        <v>20</v>
      </c>
      <c r="P53" s="1">
        <f t="shared" si="11"/>
        <v>15</v>
      </c>
      <c r="Q53" s="1">
        <f t="shared" si="11"/>
        <v>0</v>
      </c>
      <c r="R53" s="1">
        <f t="shared" si="11"/>
        <v>20</v>
      </c>
      <c r="S53" s="1">
        <f t="shared" si="11"/>
        <v>0</v>
      </c>
      <c r="T53" s="1">
        <f t="shared" si="11"/>
        <v>60</v>
      </c>
      <c r="U53" s="1">
        <f t="shared" si="11"/>
        <v>0</v>
      </c>
      <c r="V53" s="1">
        <f t="shared" si="11"/>
        <v>25</v>
      </c>
      <c r="W53" s="1">
        <f t="shared" si="11"/>
        <v>60</v>
      </c>
      <c r="X53" s="1">
        <f t="shared" si="11"/>
        <v>75</v>
      </c>
      <c r="Y53" s="82">
        <f t="shared" si="11"/>
        <v>21</v>
      </c>
      <c r="Z53" s="1">
        <f t="shared" si="11"/>
        <v>220</v>
      </c>
      <c r="AA53" s="191">
        <f t="shared" si="11"/>
        <v>799</v>
      </c>
      <c r="AB53" s="5">
        <f t="shared" si="11"/>
        <v>384527.5064</v>
      </c>
      <c r="AC53" s="5">
        <f t="shared" si="11"/>
        <v>66329.38275361904</v>
      </c>
      <c r="AD53" s="5">
        <f t="shared" si="11"/>
        <v>450856.88915361895</v>
      </c>
      <c r="AE53" s="176">
        <f>AD53/$AD$66</f>
        <v>0.4725204306515011</v>
      </c>
      <c r="AF53" s="5">
        <f t="shared" si="11"/>
        <v>901713.7783072379</v>
      </c>
    </row>
    <row r="54" spans="1:32" s="1" customFormat="1" ht="12.75">
      <c r="A54" s="4"/>
      <c r="E54" s="82"/>
      <c r="G54" s="50"/>
      <c r="H54" s="50"/>
      <c r="I54" s="50"/>
      <c r="J54" s="50"/>
      <c r="K54" s="50"/>
      <c r="L54" s="50"/>
      <c r="M54" s="50"/>
      <c r="N54" s="50"/>
      <c r="O54" s="50"/>
      <c r="P54" s="50"/>
      <c r="Q54" s="50"/>
      <c r="R54" s="50"/>
      <c r="Y54" s="82"/>
      <c r="AA54" s="182"/>
      <c r="AB54" s="5"/>
      <c r="AC54" s="5"/>
      <c r="AD54" s="131"/>
      <c r="AE54" s="171"/>
      <c r="AF54" s="22"/>
    </row>
    <row r="55" spans="1:32" s="1" customFormat="1" ht="12.75">
      <c r="A55" s="4" t="s">
        <v>74</v>
      </c>
      <c r="E55" s="82"/>
      <c r="G55" s="50"/>
      <c r="H55" s="50"/>
      <c r="I55" s="50"/>
      <c r="J55" s="50"/>
      <c r="K55" s="50"/>
      <c r="L55" s="50"/>
      <c r="M55" s="50"/>
      <c r="N55" s="50"/>
      <c r="O55" s="50"/>
      <c r="P55" s="50"/>
      <c r="Q55" s="50"/>
      <c r="R55" s="50"/>
      <c r="Y55" s="82"/>
      <c r="AA55" s="182"/>
      <c r="AB55" s="131"/>
      <c r="AC55" s="131"/>
      <c r="AD55" s="131"/>
      <c r="AE55" s="170"/>
      <c r="AF55" s="22"/>
    </row>
    <row r="56" spans="1:32" s="6" customFormat="1" ht="12.75">
      <c r="A56" s="69" t="s">
        <v>5</v>
      </c>
      <c r="B56" s="6">
        <v>10</v>
      </c>
      <c r="D56" s="6">
        <v>10</v>
      </c>
      <c r="E56" s="68">
        <v>3.5</v>
      </c>
      <c r="G56" s="49">
        <v>20</v>
      </c>
      <c r="H56" s="49">
        <v>20</v>
      </c>
      <c r="I56" s="49">
        <v>20</v>
      </c>
      <c r="J56" s="49">
        <v>20</v>
      </c>
      <c r="K56" s="49">
        <v>5</v>
      </c>
      <c r="L56" s="49">
        <v>5</v>
      </c>
      <c r="M56" s="49">
        <v>30</v>
      </c>
      <c r="N56" s="49">
        <v>10.8</v>
      </c>
      <c r="O56" s="49"/>
      <c r="P56" s="49"/>
      <c r="Q56" s="49"/>
      <c r="R56" s="128">
        <v>2.117</v>
      </c>
      <c r="T56" s="6">
        <v>20</v>
      </c>
      <c r="V56" s="6">
        <v>10</v>
      </c>
      <c r="Y56" s="286">
        <v>1.5</v>
      </c>
      <c r="Z56" s="6">
        <f>SUM(S56:X56)</f>
        <v>30</v>
      </c>
      <c r="AA56" s="186">
        <f>SUM(B56:R56)</f>
        <v>156.417</v>
      </c>
      <c r="AB56" s="92">
        <f>SUMPRODUCT(B56:R56,$B$6:$R$6)</f>
        <v>74256.3032</v>
      </c>
      <c r="AC56" s="92">
        <f>+(AA56/$AA$66)*($AA$73+$AA$74+$AB$80)</f>
        <v>12985.035121618057</v>
      </c>
      <c r="AD56" s="27">
        <f>AB56+AC56</f>
        <v>87241.33832161805</v>
      </c>
      <c r="AE56" s="170"/>
      <c r="AF56" s="151">
        <f>AD56*2</f>
        <v>174482.6766432361</v>
      </c>
    </row>
    <row r="57" spans="1:32" s="1" customFormat="1" ht="12.75">
      <c r="A57" s="4"/>
      <c r="E57" s="82"/>
      <c r="G57" s="50"/>
      <c r="H57" s="50"/>
      <c r="I57" s="50"/>
      <c r="J57" s="50"/>
      <c r="K57" s="50"/>
      <c r="L57" s="50"/>
      <c r="M57" s="50"/>
      <c r="N57" s="50"/>
      <c r="O57" s="50"/>
      <c r="P57" s="50"/>
      <c r="Q57" s="50"/>
      <c r="R57" s="50"/>
      <c r="Y57" s="82"/>
      <c r="AA57" s="182"/>
      <c r="AB57" s="131"/>
      <c r="AC57" s="131"/>
      <c r="AD57" s="131"/>
      <c r="AE57" s="170"/>
      <c r="AF57" s="22"/>
    </row>
    <row r="58" spans="1:32" s="1" customFormat="1" ht="12.75">
      <c r="A58" s="4" t="s">
        <v>6</v>
      </c>
      <c r="B58" s="1">
        <f>SUM(B56:B57)</f>
        <v>10</v>
      </c>
      <c r="C58" s="1">
        <f aca="true" t="shared" si="12" ref="C58:AF58">SUM(C56:C57)</f>
        <v>0</v>
      </c>
      <c r="D58" s="1">
        <f t="shared" si="12"/>
        <v>10</v>
      </c>
      <c r="E58" s="82">
        <f t="shared" si="12"/>
        <v>3.5</v>
      </c>
      <c r="F58" s="1">
        <f t="shared" si="12"/>
        <v>0</v>
      </c>
      <c r="G58" s="1">
        <f t="shared" si="12"/>
        <v>20</v>
      </c>
      <c r="H58" s="1">
        <f t="shared" si="12"/>
        <v>20</v>
      </c>
      <c r="I58" s="1">
        <f t="shared" si="12"/>
        <v>20</v>
      </c>
      <c r="J58" s="1">
        <f t="shared" si="12"/>
        <v>20</v>
      </c>
      <c r="K58" s="1">
        <f t="shared" si="12"/>
        <v>5</v>
      </c>
      <c r="L58" s="1">
        <f t="shared" si="12"/>
        <v>5</v>
      </c>
      <c r="M58" s="1">
        <f t="shared" si="12"/>
        <v>30</v>
      </c>
      <c r="N58" s="1">
        <f t="shared" si="12"/>
        <v>10.8</v>
      </c>
      <c r="O58" s="1">
        <f t="shared" si="12"/>
        <v>0</v>
      </c>
      <c r="P58" s="1">
        <f t="shared" si="12"/>
        <v>0</v>
      </c>
      <c r="Q58" s="1">
        <f t="shared" si="12"/>
        <v>0</v>
      </c>
      <c r="R58" s="1">
        <f t="shared" si="12"/>
        <v>2.117</v>
      </c>
      <c r="S58" s="1">
        <f t="shared" si="12"/>
        <v>0</v>
      </c>
      <c r="T58" s="1">
        <f t="shared" si="12"/>
        <v>20</v>
      </c>
      <c r="U58" s="1">
        <f t="shared" si="12"/>
        <v>0</v>
      </c>
      <c r="V58" s="1">
        <f t="shared" si="12"/>
        <v>10</v>
      </c>
      <c r="W58" s="1">
        <f t="shared" si="12"/>
        <v>0</v>
      </c>
      <c r="X58" s="1">
        <f t="shared" si="12"/>
        <v>0</v>
      </c>
      <c r="Y58" s="82">
        <f t="shared" si="12"/>
        <v>1.5</v>
      </c>
      <c r="Z58" s="1">
        <f t="shared" si="12"/>
        <v>30</v>
      </c>
      <c r="AA58" s="182">
        <f t="shared" si="12"/>
        <v>156.417</v>
      </c>
      <c r="AB58" s="5">
        <f t="shared" si="12"/>
        <v>74256.3032</v>
      </c>
      <c r="AC58" s="5">
        <f t="shared" si="12"/>
        <v>12985.035121618057</v>
      </c>
      <c r="AD58" s="5">
        <f t="shared" si="12"/>
        <v>87241.33832161805</v>
      </c>
      <c r="AE58" s="176">
        <f>AD58/$AD$66</f>
        <v>0.09143325908079535</v>
      </c>
      <c r="AF58" s="5">
        <f t="shared" si="12"/>
        <v>174482.6766432361</v>
      </c>
    </row>
    <row r="59" spans="1:32" s="1" customFormat="1" ht="12.75">
      <c r="A59" s="4"/>
      <c r="E59" s="82"/>
      <c r="G59" s="50"/>
      <c r="H59" s="50"/>
      <c r="I59" s="50"/>
      <c r="J59" s="50"/>
      <c r="K59" s="50"/>
      <c r="L59" s="50"/>
      <c r="M59" s="50"/>
      <c r="N59" s="50"/>
      <c r="O59" s="50"/>
      <c r="P59" s="50"/>
      <c r="Q59" s="50"/>
      <c r="R59" s="50"/>
      <c r="Y59" s="82"/>
      <c r="AA59" s="182"/>
      <c r="AB59" s="5"/>
      <c r="AC59" s="5"/>
      <c r="AD59" s="131"/>
      <c r="AE59" s="171"/>
      <c r="AF59" s="22"/>
    </row>
    <row r="60" spans="1:32" s="1" customFormat="1" ht="12.75">
      <c r="A60" s="4" t="s">
        <v>103</v>
      </c>
      <c r="E60" s="82"/>
      <c r="G60" s="50"/>
      <c r="H60" s="50"/>
      <c r="I60" s="50"/>
      <c r="J60" s="50"/>
      <c r="K60" s="50"/>
      <c r="L60" s="50"/>
      <c r="M60" s="50"/>
      <c r="N60" s="50"/>
      <c r="O60" s="50"/>
      <c r="P60" s="50"/>
      <c r="Q60" s="50"/>
      <c r="R60" s="50"/>
      <c r="Y60" s="82"/>
      <c r="AA60" s="182"/>
      <c r="AB60" s="131"/>
      <c r="AC60" s="131"/>
      <c r="AD60" s="131"/>
      <c r="AE60" s="170"/>
      <c r="AF60" s="22"/>
    </row>
    <row r="61" spans="1:32" s="6" customFormat="1" ht="12.75">
      <c r="A61" s="346" t="s">
        <v>187</v>
      </c>
      <c r="B61" s="162"/>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294">
        <f>SUM(S61:X61)</f>
        <v>0</v>
      </c>
      <c r="AA61" s="192"/>
      <c r="AB61" s="163"/>
      <c r="AC61" s="163"/>
      <c r="AD61" s="163"/>
      <c r="AE61" s="174"/>
      <c r="AF61" s="152"/>
    </row>
    <row r="62" spans="1:32" s="6" customFormat="1" ht="12.75">
      <c r="A62" s="346"/>
      <c r="B62" s="161">
        <v>2.067</v>
      </c>
      <c r="C62" s="161"/>
      <c r="D62" s="161">
        <v>4</v>
      </c>
      <c r="E62" s="344">
        <v>0</v>
      </c>
      <c r="F62" s="161"/>
      <c r="G62" s="128">
        <v>13.405</v>
      </c>
      <c r="H62" s="128">
        <v>7.418</v>
      </c>
      <c r="I62" s="128">
        <v>7.095</v>
      </c>
      <c r="J62" s="128">
        <v>10.584</v>
      </c>
      <c r="K62" s="128"/>
      <c r="L62" s="128"/>
      <c r="M62" s="128">
        <v>7.873</v>
      </c>
      <c r="N62" s="128">
        <v>3.456</v>
      </c>
      <c r="O62" s="128"/>
      <c r="P62" s="128"/>
      <c r="Q62" s="128"/>
      <c r="R62" s="128">
        <v>5</v>
      </c>
      <c r="T62" s="6">
        <v>20</v>
      </c>
      <c r="V62" s="6">
        <v>12</v>
      </c>
      <c r="W62" s="6">
        <v>4</v>
      </c>
      <c r="Y62" s="68"/>
      <c r="Z62" s="6">
        <f>SUM(S62:X62)</f>
        <v>36</v>
      </c>
      <c r="AA62" s="193">
        <f>SUM(B62:R62)</f>
        <v>60.898</v>
      </c>
      <c r="AB62" s="92">
        <f>SUMPRODUCT(B62:R62,$B$6:$R$6)</f>
        <v>28893.68480288</v>
      </c>
      <c r="AC62" s="92">
        <f>+(AA62/$AA$66)*($AA$73+$AA$74+$AB$80)</f>
        <v>5055.477785894734</v>
      </c>
      <c r="AD62" s="27">
        <f>AB62+AC62</f>
        <v>33949.162588774736</v>
      </c>
      <c r="AE62" s="170"/>
      <c r="AF62" s="151">
        <f>AD62*2</f>
        <v>67898.32517754947</v>
      </c>
    </row>
    <row r="63" spans="1:32" s="1" customFormat="1" ht="12.75">
      <c r="A63" s="69"/>
      <c r="E63" s="82"/>
      <c r="G63" s="50"/>
      <c r="H63" s="50"/>
      <c r="I63" s="50"/>
      <c r="J63" s="50"/>
      <c r="K63" s="50"/>
      <c r="L63" s="50"/>
      <c r="M63" s="50"/>
      <c r="N63" s="50"/>
      <c r="O63" s="50"/>
      <c r="P63" s="50"/>
      <c r="Q63" s="50"/>
      <c r="R63" s="50"/>
      <c r="Y63" s="82"/>
      <c r="AA63" s="182"/>
      <c r="AB63" s="5"/>
      <c r="AC63" s="5"/>
      <c r="AD63" s="131"/>
      <c r="AE63" s="171"/>
      <c r="AF63" s="22"/>
    </row>
    <row r="64" spans="1:32" s="1" customFormat="1" ht="12.75">
      <c r="A64" s="4" t="s">
        <v>10</v>
      </c>
      <c r="B64" s="1">
        <f>SUM(B62:B63)</f>
        <v>2.067</v>
      </c>
      <c r="C64" s="1">
        <f>SUM(C62:C63)</f>
        <v>0</v>
      </c>
      <c r="D64" s="1">
        <f>SUM(D62:D63)</f>
        <v>4</v>
      </c>
      <c r="E64" s="82">
        <f aca="true" t="shared" si="13" ref="E64:AF64">SUM(E61:E63)</f>
        <v>0</v>
      </c>
      <c r="F64" s="1">
        <f t="shared" si="13"/>
        <v>0</v>
      </c>
      <c r="G64" s="129">
        <f t="shared" si="13"/>
        <v>13.405</v>
      </c>
      <c r="H64" s="129">
        <f t="shared" si="13"/>
        <v>7.418</v>
      </c>
      <c r="I64" s="129">
        <f t="shared" si="13"/>
        <v>7.095</v>
      </c>
      <c r="J64" s="129">
        <f t="shared" si="13"/>
        <v>10.584</v>
      </c>
      <c r="K64" s="129">
        <f t="shared" si="13"/>
        <v>0</v>
      </c>
      <c r="L64" s="129">
        <f t="shared" si="13"/>
        <v>0</v>
      </c>
      <c r="M64" s="129">
        <f t="shared" si="13"/>
        <v>7.873</v>
      </c>
      <c r="N64" s="129">
        <f t="shared" si="13"/>
        <v>3.456</v>
      </c>
      <c r="O64" s="129">
        <f t="shared" si="13"/>
        <v>0</v>
      </c>
      <c r="P64" s="129">
        <f t="shared" si="13"/>
        <v>0</v>
      </c>
      <c r="Q64" s="129">
        <f t="shared" si="13"/>
        <v>0</v>
      </c>
      <c r="R64" s="129">
        <f t="shared" si="13"/>
        <v>5</v>
      </c>
      <c r="S64" s="129">
        <f t="shared" si="13"/>
        <v>0</v>
      </c>
      <c r="T64" s="1">
        <f t="shared" si="13"/>
        <v>20</v>
      </c>
      <c r="U64" s="1">
        <f t="shared" si="13"/>
        <v>0</v>
      </c>
      <c r="V64" s="1">
        <f t="shared" si="13"/>
        <v>12</v>
      </c>
      <c r="W64" s="1">
        <f t="shared" si="13"/>
        <v>4</v>
      </c>
      <c r="X64" s="1">
        <f t="shared" si="13"/>
        <v>0</v>
      </c>
      <c r="Y64" s="286">
        <v>0</v>
      </c>
      <c r="Z64" s="1">
        <f t="shared" si="13"/>
        <v>36</v>
      </c>
      <c r="AA64" s="191">
        <f t="shared" si="13"/>
        <v>60.898</v>
      </c>
      <c r="AB64" s="13">
        <f t="shared" si="13"/>
        <v>28893.68480288</v>
      </c>
      <c r="AC64" s="13">
        <f t="shared" si="13"/>
        <v>5055.477785894734</v>
      </c>
      <c r="AD64" s="13">
        <f t="shared" si="13"/>
        <v>33949.162588774736</v>
      </c>
      <c r="AE64" s="176">
        <f>AD64/$AD$66</f>
        <v>0.03558040990971714</v>
      </c>
      <c r="AF64" s="13">
        <f t="shared" si="13"/>
        <v>67898.32517754947</v>
      </c>
    </row>
    <row r="65" spans="1:31" s="1" customFormat="1" ht="12.75">
      <c r="A65" s="4"/>
      <c r="E65" s="82"/>
      <c r="G65" s="50"/>
      <c r="H65" s="50"/>
      <c r="I65" s="50"/>
      <c r="J65" s="50"/>
      <c r="K65" s="50"/>
      <c r="L65" s="50"/>
      <c r="M65" s="50"/>
      <c r="N65" s="50"/>
      <c r="O65" s="50"/>
      <c r="P65" s="50"/>
      <c r="Q65" s="50"/>
      <c r="R65" s="50"/>
      <c r="Y65" s="82"/>
      <c r="AA65" s="186"/>
      <c r="AB65" s="131"/>
      <c r="AC65" s="134"/>
      <c r="AE65" s="82"/>
    </row>
    <row r="66" spans="1:32" s="1" customFormat="1" ht="12.75">
      <c r="A66" s="4" t="s">
        <v>13</v>
      </c>
      <c r="B66" s="129">
        <f>B22+B29+B36+B44+B53+B58+B64</f>
        <v>65.56700000000001</v>
      </c>
      <c r="C66" s="129">
        <f aca="true" t="shared" si="14" ref="C66:AF66">C22+C29+C36+C44+C53+C58+C64</f>
        <v>5</v>
      </c>
      <c r="D66" s="129">
        <f t="shared" si="14"/>
        <v>107</v>
      </c>
      <c r="E66" s="345">
        <f t="shared" si="14"/>
        <v>73.5</v>
      </c>
      <c r="F66" s="129">
        <f t="shared" si="14"/>
        <v>3</v>
      </c>
      <c r="G66" s="129">
        <f t="shared" si="14"/>
        <v>191.405</v>
      </c>
      <c r="H66" s="129">
        <f t="shared" si="14"/>
        <v>270.418</v>
      </c>
      <c r="I66" s="129">
        <f t="shared" si="14"/>
        <v>175.095</v>
      </c>
      <c r="J66" s="129">
        <f t="shared" si="14"/>
        <v>242.584</v>
      </c>
      <c r="K66" s="129">
        <f>K22+K29+K36+K44+K53+K58+K64</f>
        <v>32</v>
      </c>
      <c r="L66" s="129">
        <f t="shared" si="14"/>
        <v>32</v>
      </c>
      <c r="M66" s="129">
        <f t="shared" si="14"/>
        <v>230.873</v>
      </c>
      <c r="N66" s="129">
        <f t="shared" si="14"/>
        <v>57.256</v>
      </c>
      <c r="O66" s="129">
        <f>O22+O29+O36+O44+O53+O58+O64</f>
        <v>20</v>
      </c>
      <c r="P66" s="129">
        <f>P22+P29+P36+P44+P53+P58+P64</f>
        <v>15</v>
      </c>
      <c r="Q66" s="129">
        <f>Q22+Q29+Q36+Q44+Q53+Q58+Q64</f>
        <v>12</v>
      </c>
      <c r="R66" s="129">
        <f t="shared" si="14"/>
        <v>34.117000000000004</v>
      </c>
      <c r="S66" s="1">
        <f t="shared" si="14"/>
        <v>204</v>
      </c>
      <c r="T66" s="1">
        <f t="shared" si="14"/>
        <v>138</v>
      </c>
      <c r="U66" s="1">
        <f>U22+U29+U36+U44+U53+U58+U64</f>
        <v>50</v>
      </c>
      <c r="V66" s="1">
        <f t="shared" si="14"/>
        <v>193</v>
      </c>
      <c r="W66" s="1">
        <f t="shared" si="14"/>
        <v>81</v>
      </c>
      <c r="X66" s="1">
        <f t="shared" si="14"/>
        <v>125</v>
      </c>
      <c r="Y66" s="82">
        <f t="shared" si="14"/>
        <v>25.75</v>
      </c>
      <c r="Z66" s="1">
        <f t="shared" si="14"/>
        <v>791</v>
      </c>
      <c r="AA66" s="191">
        <f t="shared" si="14"/>
        <v>1566.7649999999999</v>
      </c>
      <c r="AB66" s="13">
        <f t="shared" si="14"/>
        <v>747480.04288288</v>
      </c>
      <c r="AC66" s="13">
        <f t="shared" si="14"/>
        <v>206673.17443300868</v>
      </c>
      <c r="AD66" s="13">
        <f t="shared" si="14"/>
        <v>954153.2173158885</v>
      </c>
      <c r="AE66" s="157"/>
      <c r="AF66" s="13">
        <f t="shared" si="14"/>
        <v>1908306.434631777</v>
      </c>
    </row>
    <row r="67" spans="1:32" s="182" customFormat="1" ht="12.75">
      <c r="A67" s="179" t="s">
        <v>113</v>
      </c>
      <c r="B67" s="180">
        <f aca="true" t="shared" si="15" ref="B67:R67">B66*B6</f>
        <v>72123.70000000001</v>
      </c>
      <c r="C67" s="180">
        <f t="shared" si="15"/>
        <v>3415</v>
      </c>
      <c r="D67" s="180">
        <f t="shared" si="15"/>
        <v>65805</v>
      </c>
      <c r="E67" s="187">
        <f t="shared" si="15"/>
        <v>45202.5</v>
      </c>
      <c r="F67" s="180">
        <f t="shared" si="15"/>
        <v>1200</v>
      </c>
      <c r="G67" s="180">
        <f t="shared" si="15"/>
        <v>86132.25</v>
      </c>
      <c r="H67" s="180">
        <f t="shared" si="15"/>
        <v>94568.46288287999</v>
      </c>
      <c r="I67" s="180">
        <f t="shared" si="15"/>
        <v>75290.85</v>
      </c>
      <c r="J67" s="180">
        <f t="shared" si="15"/>
        <v>104311.12</v>
      </c>
      <c r="K67" s="180">
        <f t="shared" si="15"/>
        <v>12800</v>
      </c>
      <c r="L67" s="180">
        <f t="shared" si="15"/>
        <v>12800</v>
      </c>
      <c r="M67" s="180">
        <f t="shared" si="15"/>
        <v>92349.2</v>
      </c>
      <c r="N67" s="180">
        <f t="shared" si="15"/>
        <v>22902.4</v>
      </c>
      <c r="O67" s="180">
        <f t="shared" si="15"/>
        <v>18000</v>
      </c>
      <c r="P67" s="180">
        <f t="shared" si="15"/>
        <v>10200</v>
      </c>
      <c r="Q67" s="180">
        <f t="shared" si="15"/>
        <v>7200</v>
      </c>
      <c r="R67" s="180">
        <f t="shared" si="15"/>
        <v>23199.56</v>
      </c>
      <c r="S67" s="180">
        <f aca="true" t="shared" si="16" ref="S67:X67">S66*S6</f>
        <v>0</v>
      </c>
      <c r="T67" s="180">
        <f t="shared" si="16"/>
        <v>0</v>
      </c>
      <c r="U67" s="180">
        <f t="shared" si="16"/>
        <v>0</v>
      </c>
      <c r="V67" s="180">
        <f t="shared" si="16"/>
        <v>0</v>
      </c>
      <c r="W67" s="180">
        <f t="shared" si="16"/>
        <v>0</v>
      </c>
      <c r="X67" s="180">
        <f t="shared" si="16"/>
        <v>0</v>
      </c>
      <c r="Y67" s="187"/>
      <c r="Z67" s="180"/>
      <c r="AA67" s="180">
        <f>SUM(B67:X67)</f>
        <v>747500.0428828801</v>
      </c>
      <c r="AB67" s="181"/>
      <c r="AC67" s="181"/>
      <c r="AD67" s="181"/>
      <c r="AE67" s="183"/>
      <c r="AF67" s="184"/>
    </row>
    <row r="68" spans="1:33" s="1" customFormat="1" ht="12.75">
      <c r="A68" s="4" t="s">
        <v>203</v>
      </c>
      <c r="B68" s="314">
        <f>B66/12</f>
        <v>5.463916666666667</v>
      </c>
      <c r="C68" s="5"/>
      <c r="D68" s="314">
        <f>D66/12</f>
        <v>8.916666666666666</v>
      </c>
      <c r="E68" s="314">
        <f>E66/12</f>
        <v>6.125</v>
      </c>
      <c r="F68" s="5"/>
      <c r="G68" s="51"/>
      <c r="H68" s="51"/>
      <c r="I68" s="51"/>
      <c r="J68" s="51"/>
      <c r="K68" s="51"/>
      <c r="L68" s="51"/>
      <c r="M68" s="51"/>
      <c r="N68" s="51"/>
      <c r="O68" s="51"/>
      <c r="P68" s="51"/>
      <c r="Q68" s="51"/>
      <c r="R68" s="51"/>
      <c r="S68" s="5"/>
      <c r="T68" s="5"/>
      <c r="U68" s="5"/>
      <c r="V68" s="5"/>
      <c r="W68" s="5"/>
      <c r="X68" s="5"/>
      <c r="Y68" s="93"/>
      <c r="Z68" s="5"/>
      <c r="AA68" s="180"/>
      <c r="AB68" s="13"/>
      <c r="AC68" s="13"/>
      <c r="AD68" s="325">
        <v>968802</v>
      </c>
      <c r="AE68" s="325" t="s">
        <v>229</v>
      </c>
      <c r="AF68" s="326"/>
      <c r="AG68" s="13"/>
    </row>
    <row r="69" spans="1:33" s="1" customFormat="1" ht="12.75">
      <c r="A69" s="315" t="s">
        <v>209</v>
      </c>
      <c r="B69" s="316">
        <f>(' FY07_09 Detailed  Budget '!B67-'FY06 Budget'!B67)/'FY06 Budget'!B67</f>
        <v>0.19067681188370555</v>
      </c>
      <c r="C69" s="316"/>
      <c r="D69" s="316">
        <f>(' FY07_09 Detailed  Budget '!D67-'FY06 Budget'!D67)/'FY06 Budget'!D67</f>
        <v>0.13829787234042554</v>
      </c>
      <c r="E69" s="316">
        <f>(' FY07_09 Detailed  Budget '!E67-'FY06 Budget'!E67)/'FY06 Budget'!E67</f>
        <v>0.2564102564102564</v>
      </c>
      <c r="F69" s="5"/>
      <c r="G69" s="316">
        <f>(' FY07_09 Detailed  Budget '!G67-'FY06 Budget'!G67)/'FY06 Budget'!G67</f>
        <v>-0.22320975629552972</v>
      </c>
      <c r="H69" s="316">
        <f>(' FY07_09 Detailed  Budget '!H67-'FY06 Budget'!H67)/'FY06 Budget'!H67</f>
        <v>0.12478267018276497</v>
      </c>
      <c r="I69" s="316">
        <f>(' FY07_09 Detailed  Budget '!I67-'FY06 Budget'!I67)/'FY06 Budget'!I67</f>
        <v>-0.22212843466092094</v>
      </c>
      <c r="J69" s="316">
        <f>(' FY07_09 Detailed  Budget '!J67-'FY06 Budget'!K67)/'FY06 Budget'!K67</f>
        <v>-0.04116996047430834</v>
      </c>
      <c r="K69" s="316"/>
      <c r="L69" s="316">
        <f>(' FY07_09 Detailed  Budget '!L67-'FY06 Budget'!L67)/'FY06 Budget'!L67</f>
        <v>-0.49942120576917065</v>
      </c>
      <c r="M69" s="316">
        <f>(' FY07_09 Detailed  Budget '!M67-'FY06 Budget'!M67)/'FY06 Budget'!M67</f>
        <v>0</v>
      </c>
      <c r="N69" s="316">
        <f>(' FY07_09 Detailed  Budget '!N67-'FY06 Budget'!N67)/'FY06 Budget'!N67</f>
        <v>-0.49975536450688474</v>
      </c>
      <c r="O69" s="319" t="s">
        <v>217</v>
      </c>
      <c r="P69" s="319" t="s">
        <v>217</v>
      </c>
      <c r="Q69" s="319" t="s">
        <v>217</v>
      </c>
      <c r="R69" s="316">
        <f>(' FY07_09 Detailed  Budget '!R67-'FY06 Budget'!O67)/'FY06 Budget'!O67</f>
        <v>-0.22666999115987024</v>
      </c>
      <c r="S69" s="316"/>
      <c r="T69" s="316"/>
      <c r="U69" s="316"/>
      <c r="V69" s="316"/>
      <c r="W69" s="316"/>
      <c r="X69" s="316"/>
      <c r="Y69" s="93"/>
      <c r="Z69" s="5"/>
      <c r="AA69" s="180"/>
      <c r="AB69" s="13"/>
      <c r="AC69" s="13"/>
      <c r="AD69" s="316">
        <f>(' FY07_09 Detailed  Budget '!AB81-'FY06 Budget'!V78)/'FY06 Budget'!V78</f>
        <v>-0.015099925972630693</v>
      </c>
      <c r="AE69" s="321" t="s">
        <v>220</v>
      </c>
      <c r="AF69" s="93"/>
      <c r="AG69" s="13"/>
    </row>
    <row r="70" spans="1:33" s="1" customFormat="1" ht="12.75">
      <c r="A70" s="4"/>
      <c r="B70" s="314"/>
      <c r="C70" s="5"/>
      <c r="D70" s="314"/>
      <c r="E70" s="314"/>
      <c r="F70" s="5"/>
      <c r="G70" s="51"/>
      <c r="H70" s="51"/>
      <c r="I70" s="51"/>
      <c r="J70" s="51"/>
      <c r="K70" s="51"/>
      <c r="L70" s="51"/>
      <c r="M70" s="51"/>
      <c r="N70" s="51"/>
      <c r="O70" s="51"/>
      <c r="P70" s="51"/>
      <c r="Q70" s="51"/>
      <c r="R70" s="51"/>
      <c r="S70" s="5"/>
      <c r="T70" s="5"/>
      <c r="U70" s="5"/>
      <c r="V70" s="5"/>
      <c r="W70" s="5"/>
      <c r="X70" s="5"/>
      <c r="Y70" s="93"/>
      <c r="Z70" s="5"/>
      <c r="AA70" s="180"/>
      <c r="AB70" s="13"/>
      <c r="AC70" s="13"/>
      <c r="AD70" s="131"/>
      <c r="AE70" s="93"/>
      <c r="AF70" s="131"/>
      <c r="AG70" s="13"/>
    </row>
    <row r="71" spans="1:32" ht="12.75">
      <c r="A71" s="4" t="s">
        <v>132</v>
      </c>
      <c r="B71" s="19"/>
      <c r="E71" s="44"/>
      <c r="G71" s="49"/>
      <c r="H71" s="49"/>
      <c r="I71" s="49"/>
      <c r="J71" s="49"/>
      <c r="K71" s="49"/>
      <c r="L71" s="49"/>
      <c r="M71" s="49"/>
      <c r="N71" s="49"/>
      <c r="O71" s="49"/>
      <c r="P71" s="49"/>
      <c r="Q71" s="49"/>
      <c r="R71" s="49"/>
      <c r="S71" s="14"/>
      <c r="T71" s="14"/>
      <c r="U71" s="14"/>
      <c r="V71" s="14"/>
      <c r="W71" s="14"/>
      <c r="X71" s="14"/>
      <c r="Y71" s="175"/>
      <c r="Z71" s="14"/>
      <c r="AB71" s="14"/>
      <c r="AC71" s="14"/>
      <c r="AD71" s="14"/>
      <c r="AE71" s="175"/>
      <c r="AF71" s="14"/>
    </row>
    <row r="72" spans="1:31" ht="12.75">
      <c r="A72" t="s">
        <v>152</v>
      </c>
      <c r="B72" s="19">
        <f>B92</f>
        <v>4662</v>
      </c>
      <c r="C72" s="19">
        <f>C92</f>
        <v>0</v>
      </c>
      <c r="D72" s="19">
        <f>D92</f>
        <v>4662</v>
      </c>
      <c r="E72" s="155">
        <f>E92</f>
        <v>4389</v>
      </c>
      <c r="G72" s="19">
        <f aca="true" t="shared" si="17" ref="G72:R72">G92</f>
        <v>5778.192</v>
      </c>
      <c r="H72" s="19">
        <f t="shared" si="17"/>
        <v>7322.616</v>
      </c>
      <c r="I72" s="19">
        <f t="shared" si="17"/>
        <v>5778.192</v>
      </c>
      <c r="J72" s="19">
        <f t="shared" si="17"/>
        <v>0</v>
      </c>
      <c r="K72" s="19">
        <f>K92</f>
        <v>2806.272</v>
      </c>
      <c r="L72" s="19">
        <f t="shared" si="17"/>
        <v>2806.272</v>
      </c>
      <c r="M72" s="19">
        <f t="shared" si="17"/>
        <v>7322.616</v>
      </c>
      <c r="N72" s="19">
        <f t="shared" si="17"/>
        <v>2806.272</v>
      </c>
      <c r="O72" s="19">
        <f>O92</f>
        <v>2163.168</v>
      </c>
      <c r="P72" s="19"/>
      <c r="Q72" s="19">
        <f>Q92</f>
        <v>1596.798</v>
      </c>
      <c r="R72" s="19">
        <f t="shared" si="17"/>
        <v>1776</v>
      </c>
      <c r="S72" s="18"/>
      <c r="T72" s="18"/>
      <c r="U72" s="18"/>
      <c r="V72" s="19">
        <v>10000</v>
      </c>
      <c r="W72" s="18"/>
      <c r="X72" s="18"/>
      <c r="Y72" s="287"/>
      <c r="Z72" s="18"/>
      <c r="AA72" s="180">
        <f>SUM(B72:X72)</f>
        <v>63869.397999999994</v>
      </c>
      <c r="AD72" s="19"/>
      <c r="AE72" s="82"/>
    </row>
    <row r="73" spans="1:31" ht="12.75">
      <c r="A73" t="s">
        <v>151</v>
      </c>
      <c r="B73">
        <v>1000</v>
      </c>
      <c r="D73">
        <v>1500</v>
      </c>
      <c r="E73" s="44">
        <v>1000</v>
      </c>
      <c r="F73">
        <v>960</v>
      </c>
      <c r="G73" s="52">
        <v>1812</v>
      </c>
      <c r="H73" s="52">
        <v>1812</v>
      </c>
      <c r="I73" s="52">
        <v>1812</v>
      </c>
      <c r="J73" s="52"/>
      <c r="K73" s="52">
        <v>1812</v>
      </c>
      <c r="L73" s="52">
        <v>1812</v>
      </c>
      <c r="M73" s="52">
        <v>1812</v>
      </c>
      <c r="N73" s="52">
        <v>1812</v>
      </c>
      <c r="O73" s="52">
        <v>1812</v>
      </c>
      <c r="P73" s="52"/>
      <c r="Q73" s="52">
        <v>1812</v>
      </c>
      <c r="R73" s="52">
        <v>1853</v>
      </c>
      <c r="S73" s="18"/>
      <c r="T73" s="18"/>
      <c r="U73" s="18"/>
      <c r="V73" s="18"/>
      <c r="W73" s="18"/>
      <c r="X73" s="18"/>
      <c r="Y73" s="287"/>
      <c r="Z73" s="18"/>
      <c r="AA73" s="180">
        <f>SUM(B73:X73)</f>
        <v>22621</v>
      </c>
      <c r="AD73" s="247"/>
      <c r="AE73" s="155"/>
    </row>
    <row r="74" spans="1:27" ht="12.75">
      <c r="A74" t="s">
        <v>18</v>
      </c>
      <c r="B74">
        <v>500</v>
      </c>
      <c r="D74">
        <v>500</v>
      </c>
      <c r="E74" s="44">
        <v>500</v>
      </c>
      <c r="F74">
        <v>250</v>
      </c>
      <c r="G74" s="49"/>
      <c r="H74" s="49"/>
      <c r="I74" s="49"/>
      <c r="J74" s="49"/>
      <c r="K74" s="49"/>
      <c r="L74" s="49"/>
      <c r="M74" s="49"/>
      <c r="N74" s="49"/>
      <c r="O74" s="49"/>
      <c r="P74" s="49"/>
      <c r="Q74" s="49"/>
      <c r="R74" s="49"/>
      <c r="S74" s="14"/>
      <c r="T74" s="14"/>
      <c r="U74" s="14"/>
      <c r="V74" s="14"/>
      <c r="W74" s="14"/>
      <c r="X74" s="14"/>
      <c r="Y74" s="175"/>
      <c r="Z74" s="14"/>
      <c r="AA74" s="180">
        <f>SUM(B74:X74)</f>
        <v>1750</v>
      </c>
    </row>
    <row r="75" spans="1:29" ht="12.75">
      <c r="A75" t="s">
        <v>17</v>
      </c>
      <c r="B75" s="142"/>
      <c r="C75" s="142"/>
      <c r="D75" s="142"/>
      <c r="E75" s="156"/>
      <c r="G75" s="49"/>
      <c r="H75" s="49"/>
      <c r="I75" s="49"/>
      <c r="J75" s="49"/>
      <c r="K75" s="49"/>
      <c r="L75" s="49"/>
      <c r="M75" s="49"/>
      <c r="N75" s="49"/>
      <c r="O75" s="49"/>
      <c r="P75" s="49"/>
      <c r="Q75" s="49"/>
      <c r="R75" s="49"/>
      <c r="S75" s="14"/>
      <c r="T75" s="14"/>
      <c r="U75" s="14"/>
      <c r="V75" s="19">
        <v>12738</v>
      </c>
      <c r="W75" s="14"/>
      <c r="X75" s="14"/>
      <c r="Y75" s="175"/>
      <c r="Z75" s="14"/>
      <c r="AA75" s="180">
        <f>SUM(B75:X75)</f>
        <v>12738</v>
      </c>
      <c r="AC75" t="s">
        <v>25</v>
      </c>
    </row>
    <row r="76" spans="1:31" s="182" customFormat="1" ht="12.75">
      <c r="A76" s="179" t="s">
        <v>133</v>
      </c>
      <c r="B76" s="180">
        <f aca="true" t="shared" si="18" ref="B76:R76">SUM(B72:B75)</f>
        <v>6162</v>
      </c>
      <c r="C76" s="180">
        <f t="shared" si="18"/>
        <v>0</v>
      </c>
      <c r="D76" s="180">
        <f t="shared" si="18"/>
        <v>6662</v>
      </c>
      <c r="E76" s="187">
        <f t="shared" si="18"/>
        <v>5889</v>
      </c>
      <c r="F76" s="180">
        <f t="shared" si="18"/>
        <v>1210</v>
      </c>
      <c r="G76" s="180">
        <f t="shared" si="18"/>
        <v>7590.192</v>
      </c>
      <c r="H76" s="180">
        <f t="shared" si="18"/>
        <v>9134.616</v>
      </c>
      <c r="I76" s="180">
        <f t="shared" si="18"/>
        <v>7590.192</v>
      </c>
      <c r="J76" s="180">
        <f t="shared" si="18"/>
        <v>0</v>
      </c>
      <c r="K76" s="180">
        <f t="shared" si="18"/>
        <v>4618.272</v>
      </c>
      <c r="L76" s="180">
        <f t="shared" si="18"/>
        <v>4618.272</v>
      </c>
      <c r="M76" s="180">
        <f t="shared" si="18"/>
        <v>9134.616</v>
      </c>
      <c r="N76" s="180">
        <f t="shared" si="18"/>
        <v>4618.272</v>
      </c>
      <c r="O76" s="180">
        <f t="shared" si="18"/>
        <v>3975.168</v>
      </c>
      <c r="P76" s="180">
        <f t="shared" si="18"/>
        <v>0</v>
      </c>
      <c r="Q76" s="180">
        <f t="shared" si="18"/>
        <v>3408.798</v>
      </c>
      <c r="R76" s="180">
        <f t="shared" si="18"/>
        <v>3629</v>
      </c>
      <c r="S76" s="180"/>
      <c r="T76" s="180"/>
      <c r="U76" s="180"/>
      <c r="V76" s="180">
        <f>SUM(V72:V75)</f>
        <v>22738</v>
      </c>
      <c r="W76" s="180"/>
      <c r="X76" s="180"/>
      <c r="Y76" s="187"/>
      <c r="Z76" s="180"/>
      <c r="AA76" s="181">
        <f>SUM(AA72:AA75)</f>
        <v>100978.39799999999</v>
      </c>
      <c r="AC76" s="185">
        <f>AA76+AB80</f>
        <v>206673.17443300865</v>
      </c>
      <c r="AE76" s="183"/>
    </row>
    <row r="77" spans="1:32" ht="12.75">
      <c r="A77" s="315" t="s">
        <v>228</v>
      </c>
      <c r="B77" s="316">
        <f>(B76-'FY06 Budget'!B74)/'FY06 Budget'!B74</f>
        <v>0</v>
      </c>
      <c r="C77" s="1"/>
      <c r="D77" s="316">
        <f>(D76-'FY06 Budget'!D74)/'FY06 Budget'!D74</f>
        <v>0</v>
      </c>
      <c r="E77" s="316">
        <f>(E76-'FY06 Budget'!E74)/'FY06 Budget'!E74</f>
        <v>0</v>
      </c>
      <c r="F77" s="316">
        <f>(F76-'FY06 Budget'!F74)/'FY06 Budget'!F74</f>
        <v>0</v>
      </c>
      <c r="G77" s="316">
        <f>(G76-'FY06 Budget'!G74)/'FY06 Budget'!G74</f>
        <v>-0.16907377387292472</v>
      </c>
      <c r="H77" s="316">
        <f>(H76-'FY06 Budget'!H74)/'FY06 Budget'!H74</f>
        <v>0</v>
      </c>
      <c r="I77" s="316">
        <f>(I76-'FY06 Budget'!I74)/'FY06 Budget'!I74</f>
        <v>-0.16907377387292472</v>
      </c>
      <c r="J77" s="316">
        <f>(J76-'FY06 Budget'!K74)/'FY06 Budget'!K74</f>
        <v>-1</v>
      </c>
      <c r="K77" s="316"/>
      <c r="L77" s="316">
        <f>(L76-'FY06 Budget'!L74)/'FY06 Budget'!L74</f>
        <v>-0.49442078353375774</v>
      </c>
      <c r="M77" s="316">
        <f>(M76-'FY06 Budget'!M74)/'FY06 Budget'!M74</f>
        <v>0</v>
      </c>
      <c r="N77" s="316">
        <f>(N76-'FY06 Budget'!N74)/'FY06 Budget'!N74</f>
        <v>-0.49442078353375774</v>
      </c>
      <c r="O77" s="316"/>
      <c r="P77" s="316"/>
      <c r="Q77" s="316"/>
      <c r="R77" s="316">
        <f>(R76-'FY06 Budget'!O74)/'FY06 Budget'!O74</f>
        <v>-0.2801031541360841</v>
      </c>
      <c r="S77" s="15"/>
      <c r="T77" s="15"/>
      <c r="U77" s="15"/>
      <c r="V77" s="50"/>
      <c r="W77" s="15"/>
      <c r="X77" s="15"/>
      <c r="Y77" s="288"/>
      <c r="Z77" s="15"/>
      <c r="AB77" s="5"/>
      <c r="AC77" s="66"/>
      <c r="AD77" s="5"/>
      <c r="AE77" s="93"/>
      <c r="AF77" s="5"/>
    </row>
    <row r="78" spans="1:32" ht="12.75">
      <c r="A78" s="315"/>
      <c r="B78" s="1"/>
      <c r="C78" s="1"/>
      <c r="D78" s="1"/>
      <c r="E78" s="82"/>
      <c r="F78" s="1"/>
      <c r="G78" s="50"/>
      <c r="H78" s="50"/>
      <c r="I78" s="50"/>
      <c r="J78" s="50"/>
      <c r="K78" s="50"/>
      <c r="L78" s="50"/>
      <c r="M78" s="50"/>
      <c r="N78" s="50"/>
      <c r="O78" s="50"/>
      <c r="P78" s="50"/>
      <c r="Q78" s="50"/>
      <c r="R78" s="50"/>
      <c r="S78" s="15"/>
      <c r="T78" s="15"/>
      <c r="U78" s="15"/>
      <c r="V78" s="50"/>
      <c r="W78" s="15"/>
      <c r="X78" s="15"/>
      <c r="Y78" s="288"/>
      <c r="Z78" s="15"/>
      <c r="AB78" s="5"/>
      <c r="AC78" s="66"/>
      <c r="AD78" s="5"/>
      <c r="AE78" s="93"/>
      <c r="AF78" s="5"/>
    </row>
    <row r="79" spans="1:32" s="186" customFormat="1" ht="12.75">
      <c r="A79" s="179" t="s">
        <v>134</v>
      </c>
      <c r="B79" s="181">
        <f aca="true" t="shared" si="19" ref="B79:R79">B67+B76</f>
        <v>78285.70000000001</v>
      </c>
      <c r="C79" s="181">
        <f t="shared" si="19"/>
        <v>3415</v>
      </c>
      <c r="D79" s="181">
        <f t="shared" si="19"/>
        <v>72467</v>
      </c>
      <c r="E79" s="289">
        <f>E67+E76</f>
        <v>51091.5</v>
      </c>
      <c r="F79" s="181">
        <f t="shared" si="19"/>
        <v>2410</v>
      </c>
      <c r="G79" s="181">
        <f t="shared" si="19"/>
        <v>93722.442</v>
      </c>
      <c r="H79" s="181">
        <f t="shared" si="19"/>
        <v>103703.07888287999</v>
      </c>
      <c r="I79" s="181">
        <f t="shared" si="19"/>
        <v>82881.042</v>
      </c>
      <c r="J79" s="181">
        <f t="shared" si="19"/>
        <v>104311.12</v>
      </c>
      <c r="K79" s="181">
        <f>K67+K76</f>
        <v>17418.272</v>
      </c>
      <c r="L79" s="181">
        <f t="shared" si="19"/>
        <v>17418.272</v>
      </c>
      <c r="M79" s="181">
        <f t="shared" si="19"/>
        <v>101483.81599999999</v>
      </c>
      <c r="N79" s="181">
        <f t="shared" si="19"/>
        <v>27520.672000000002</v>
      </c>
      <c r="O79" s="181">
        <f>O67+O76</f>
        <v>21975.168</v>
      </c>
      <c r="P79" s="181">
        <f>P67+P76</f>
        <v>10200</v>
      </c>
      <c r="Q79" s="181">
        <f>Q67+Q76</f>
        <v>10608.797999999999</v>
      </c>
      <c r="R79" s="181">
        <f t="shared" si="19"/>
        <v>26828.56</v>
      </c>
      <c r="S79" s="181"/>
      <c r="T79" s="181"/>
      <c r="U79" s="181"/>
      <c r="V79" s="181">
        <f>V67+V76</f>
        <v>22738</v>
      </c>
      <c r="W79" s="181"/>
      <c r="X79" s="181"/>
      <c r="Y79" s="289"/>
      <c r="Z79" s="181"/>
      <c r="AA79" s="327"/>
      <c r="AB79" s="180">
        <f>SUM(B79:X79)</f>
        <v>848478.44088288</v>
      </c>
      <c r="AC79" s="185"/>
      <c r="AD79" s="180"/>
      <c r="AE79" s="187"/>
      <c r="AF79" s="180"/>
    </row>
    <row r="80" spans="1:32" ht="12.75">
      <c r="A80" s="1" t="s">
        <v>149</v>
      </c>
      <c r="B80" s="5">
        <f aca="true" t="shared" si="20" ref="B80:R80">B79*0.128</f>
        <v>10020.569600000003</v>
      </c>
      <c r="C80" s="5">
        <f t="shared" si="20"/>
        <v>437.12</v>
      </c>
      <c r="D80" s="5">
        <f t="shared" si="20"/>
        <v>9275.776</v>
      </c>
      <c r="E80" s="93">
        <f t="shared" si="20"/>
        <v>6539.712</v>
      </c>
      <c r="F80" s="5">
        <f t="shared" si="20"/>
        <v>308.48</v>
      </c>
      <c r="G80" s="51">
        <f t="shared" si="20"/>
        <v>11996.472576</v>
      </c>
      <c r="H80" s="51">
        <f t="shared" si="20"/>
        <v>13273.994097008639</v>
      </c>
      <c r="I80" s="51">
        <f t="shared" si="20"/>
        <v>10608.773376000001</v>
      </c>
      <c r="J80" s="51">
        <f t="shared" si="20"/>
        <v>13351.82336</v>
      </c>
      <c r="K80" s="51">
        <f t="shared" si="20"/>
        <v>2229.538816</v>
      </c>
      <c r="L80" s="51">
        <f t="shared" si="20"/>
        <v>2229.538816</v>
      </c>
      <c r="M80" s="51">
        <f t="shared" si="20"/>
        <v>12989.928447999999</v>
      </c>
      <c r="N80" s="51">
        <f t="shared" si="20"/>
        <v>3522.646016</v>
      </c>
      <c r="O80" s="51">
        <f t="shared" si="20"/>
        <v>2812.8215040000005</v>
      </c>
      <c r="P80" s="51">
        <f t="shared" si="20"/>
        <v>1305.6000000000001</v>
      </c>
      <c r="Q80" s="51">
        <f t="shared" si="20"/>
        <v>1357.9261439999998</v>
      </c>
      <c r="R80" s="51">
        <f t="shared" si="20"/>
        <v>3434.0556800000004</v>
      </c>
      <c r="S80" s="16"/>
      <c r="T80" s="16"/>
      <c r="U80" s="16"/>
      <c r="V80" s="51"/>
      <c r="W80" s="16"/>
      <c r="X80" s="16"/>
      <c r="Y80" s="290"/>
      <c r="Z80" s="16"/>
      <c r="AA80" s="327"/>
      <c r="AB80" s="5">
        <f>SUM(B80:X80)</f>
        <v>105694.77643300865</v>
      </c>
      <c r="AC80" s="66"/>
      <c r="AD80" s="5"/>
      <c r="AE80" s="93"/>
      <c r="AF80" s="5"/>
    </row>
    <row r="81" spans="1:32" ht="12.75">
      <c r="A81" s="1" t="s">
        <v>150</v>
      </c>
      <c r="B81" s="13">
        <f aca="true" t="shared" si="21" ref="B81:R81">B79+B80</f>
        <v>88306.26960000001</v>
      </c>
      <c r="C81" s="13">
        <f t="shared" si="21"/>
        <v>3852.12</v>
      </c>
      <c r="D81" s="13">
        <f t="shared" si="21"/>
        <v>81742.776</v>
      </c>
      <c r="E81" s="157">
        <f t="shared" si="21"/>
        <v>57631.212</v>
      </c>
      <c r="F81" s="13">
        <f t="shared" si="21"/>
        <v>2718.48</v>
      </c>
      <c r="G81" s="53">
        <f t="shared" si="21"/>
        <v>105718.914576</v>
      </c>
      <c r="H81" s="53">
        <f t="shared" si="21"/>
        <v>116977.07297988862</v>
      </c>
      <c r="I81" s="53">
        <f t="shared" si="21"/>
        <v>93489.815376</v>
      </c>
      <c r="J81" s="53">
        <f t="shared" si="21"/>
        <v>117662.94335999999</v>
      </c>
      <c r="K81" s="53">
        <f t="shared" si="21"/>
        <v>19647.810816</v>
      </c>
      <c r="L81" s="53">
        <f t="shared" si="21"/>
        <v>19647.810816</v>
      </c>
      <c r="M81" s="53">
        <f t="shared" si="21"/>
        <v>114473.74444799998</v>
      </c>
      <c r="N81" s="53">
        <f t="shared" si="21"/>
        <v>31043.318016</v>
      </c>
      <c r="O81" s="53">
        <f t="shared" si="21"/>
        <v>24787.989504</v>
      </c>
      <c r="P81" s="53">
        <f t="shared" si="21"/>
        <v>11505.6</v>
      </c>
      <c r="Q81" s="53">
        <f t="shared" si="21"/>
        <v>11966.724143999998</v>
      </c>
      <c r="R81" s="53">
        <f t="shared" si="21"/>
        <v>30262.615680000003</v>
      </c>
      <c r="S81" s="17"/>
      <c r="T81" s="17"/>
      <c r="U81" s="17"/>
      <c r="V81" s="53">
        <f>V79+V80</f>
        <v>22738</v>
      </c>
      <c r="W81" s="17"/>
      <c r="X81" s="17"/>
      <c r="Y81" s="291"/>
      <c r="Z81" s="5">
        <f>SUM(B81:X81)</f>
        <v>954173.2173158886</v>
      </c>
      <c r="AB81" s="13">
        <f>SUM(AB79:AB80)</f>
        <v>954173.2173158886</v>
      </c>
      <c r="AD81" s="93"/>
      <c r="AE81" s="93"/>
      <c r="AF81" s="93"/>
    </row>
    <row r="82" spans="1:32" ht="12.75">
      <c r="A82" s="1"/>
      <c r="B82" s="323"/>
      <c r="C82" s="13"/>
      <c r="D82" s="13"/>
      <c r="E82" s="157"/>
      <c r="F82" s="13"/>
      <c r="G82" s="317"/>
      <c r="H82" s="317"/>
      <c r="I82" s="53"/>
      <c r="J82" s="53"/>
      <c r="K82" s="53"/>
      <c r="L82" s="53"/>
      <c r="M82" s="53"/>
      <c r="N82" s="53"/>
      <c r="O82" s="53"/>
      <c r="P82" s="53"/>
      <c r="Q82" s="53"/>
      <c r="R82" s="53"/>
      <c r="S82" s="17"/>
      <c r="T82" s="17"/>
      <c r="U82" s="17"/>
      <c r="V82" s="17"/>
      <c r="W82" s="17"/>
      <c r="X82" s="17"/>
      <c r="Y82" s="291"/>
      <c r="Z82" s="17"/>
      <c r="AE82" s="93"/>
      <c r="AF82" s="93"/>
    </row>
    <row r="83" spans="1:28" ht="12.75">
      <c r="A83" s="30" t="s">
        <v>95</v>
      </c>
      <c r="B83" s="13"/>
      <c r="C83" s="13"/>
      <c r="D83" s="13"/>
      <c r="E83" s="157"/>
      <c r="F83" s="13"/>
      <c r="G83" s="53"/>
      <c r="H83" s="53"/>
      <c r="I83" s="53"/>
      <c r="J83" s="53"/>
      <c r="K83" s="53"/>
      <c r="L83" s="53"/>
      <c r="M83" s="53"/>
      <c r="N83" s="53"/>
      <c r="O83" s="53"/>
      <c r="P83" s="53"/>
      <c r="Q83" s="53"/>
      <c r="R83" s="53"/>
      <c r="S83" s="17"/>
      <c r="T83" s="17"/>
      <c r="U83" s="17"/>
      <c r="V83" s="17"/>
      <c r="W83" s="17"/>
      <c r="X83" s="17"/>
      <c r="Y83" s="291"/>
      <c r="Z83" s="17"/>
      <c r="AB83" s="5"/>
    </row>
    <row r="84" spans="1:32" s="97" customFormat="1" ht="12.75">
      <c r="A84" s="94" t="s">
        <v>96</v>
      </c>
      <c r="B84" s="95">
        <v>6</v>
      </c>
      <c r="C84" s="95">
        <v>0</v>
      </c>
      <c r="D84" s="95">
        <v>6</v>
      </c>
      <c r="E84" s="296">
        <v>6</v>
      </c>
      <c r="G84" s="95">
        <v>7</v>
      </c>
      <c r="H84" s="95">
        <v>9</v>
      </c>
      <c r="I84" s="95">
        <v>7</v>
      </c>
      <c r="J84" s="95">
        <v>0</v>
      </c>
      <c r="K84" s="95">
        <v>3</v>
      </c>
      <c r="L84" s="95">
        <v>3</v>
      </c>
      <c r="M84" s="95">
        <v>9</v>
      </c>
      <c r="N84" s="95">
        <v>3</v>
      </c>
      <c r="O84" s="95">
        <v>2</v>
      </c>
      <c r="P84" s="95"/>
      <c r="Q84" s="95">
        <v>2</v>
      </c>
      <c r="R84" s="95">
        <v>2</v>
      </c>
      <c r="S84" s="96"/>
      <c r="T84" s="96"/>
      <c r="U84" s="96"/>
      <c r="V84" s="96"/>
      <c r="W84" s="96"/>
      <c r="X84" s="96"/>
      <c r="Y84" s="292"/>
      <c r="Z84" s="96"/>
      <c r="AA84" s="186"/>
      <c r="AB84" s="98"/>
      <c r="AD84" s="117"/>
      <c r="AE84" s="117"/>
      <c r="AF84" s="93"/>
    </row>
    <row r="85" spans="1:32" s="97" customFormat="1" ht="12.75">
      <c r="A85" s="94" t="s">
        <v>97</v>
      </c>
      <c r="B85" s="100">
        <v>600</v>
      </c>
      <c r="C85" s="100">
        <v>600</v>
      </c>
      <c r="D85" s="100">
        <v>600</v>
      </c>
      <c r="E85" s="297">
        <v>600</v>
      </c>
      <c r="G85" s="100">
        <v>500</v>
      </c>
      <c r="H85" s="100">
        <v>500</v>
      </c>
      <c r="I85" s="100">
        <v>500</v>
      </c>
      <c r="J85" s="100">
        <v>500</v>
      </c>
      <c r="K85" s="100">
        <v>500</v>
      </c>
      <c r="L85" s="100">
        <v>500</v>
      </c>
      <c r="M85" s="100">
        <v>500</v>
      </c>
      <c r="N85" s="100">
        <v>500</v>
      </c>
      <c r="O85" s="100">
        <v>620</v>
      </c>
      <c r="P85" s="100"/>
      <c r="Q85" s="100">
        <v>500</v>
      </c>
      <c r="R85" s="100">
        <v>620</v>
      </c>
      <c r="S85" s="96"/>
      <c r="T85" s="96"/>
      <c r="U85" s="96"/>
      <c r="V85" s="96"/>
      <c r="W85" s="96"/>
      <c r="X85" s="96"/>
      <c r="Y85" s="292"/>
      <c r="Z85" s="96"/>
      <c r="AA85" s="186"/>
      <c r="AB85" s="98"/>
      <c r="AD85" s="99"/>
      <c r="AE85" s="99"/>
      <c r="AF85" s="99"/>
    </row>
    <row r="86" spans="1:32" s="104" customFormat="1" ht="12.75">
      <c r="A86" s="101" t="s">
        <v>98</v>
      </c>
      <c r="B86" s="102">
        <v>12</v>
      </c>
      <c r="C86" s="102"/>
      <c r="D86" s="102">
        <v>12</v>
      </c>
      <c r="E86" s="298">
        <v>12</v>
      </c>
      <c r="G86" s="102">
        <v>12</v>
      </c>
      <c r="H86" s="102">
        <v>14</v>
      </c>
      <c r="I86" s="102">
        <v>12</v>
      </c>
      <c r="J86" s="102">
        <v>0</v>
      </c>
      <c r="K86" s="102">
        <v>6</v>
      </c>
      <c r="L86" s="102">
        <v>6</v>
      </c>
      <c r="M86" s="102">
        <v>14</v>
      </c>
      <c r="N86" s="102">
        <v>6</v>
      </c>
      <c r="O86" s="102">
        <v>4</v>
      </c>
      <c r="P86" s="102"/>
      <c r="Q86" s="102">
        <v>3</v>
      </c>
      <c r="R86" s="102">
        <v>4</v>
      </c>
      <c r="S86" s="103"/>
      <c r="T86" s="103"/>
      <c r="U86" s="103"/>
      <c r="V86" s="103"/>
      <c r="W86" s="103"/>
      <c r="X86" s="103"/>
      <c r="Y86" s="293"/>
      <c r="Z86" s="103"/>
      <c r="AA86" s="186"/>
      <c r="AB86" s="105"/>
      <c r="AD86" s="106"/>
      <c r="AE86" s="106"/>
      <c r="AF86" s="106"/>
    </row>
    <row r="87" spans="1:32" s="104" customFormat="1" ht="12.75">
      <c r="A87" s="101" t="s">
        <v>101</v>
      </c>
      <c r="B87" s="107">
        <v>43</v>
      </c>
      <c r="C87" s="107">
        <v>43</v>
      </c>
      <c r="D87" s="107">
        <v>43</v>
      </c>
      <c r="E87" s="299">
        <v>43</v>
      </c>
      <c r="G87" s="107">
        <v>43</v>
      </c>
      <c r="H87" s="107">
        <v>43</v>
      </c>
      <c r="I87" s="107">
        <v>43</v>
      </c>
      <c r="J87" s="107">
        <v>43</v>
      </c>
      <c r="K87" s="107">
        <v>43</v>
      </c>
      <c r="L87" s="107">
        <v>43</v>
      </c>
      <c r="M87" s="107">
        <v>43</v>
      </c>
      <c r="N87" s="107">
        <v>43</v>
      </c>
      <c r="O87" s="107">
        <v>43</v>
      </c>
      <c r="P87" s="107"/>
      <c r="Q87" s="107">
        <v>43</v>
      </c>
      <c r="R87" s="107">
        <v>43</v>
      </c>
      <c r="S87" s="103"/>
      <c r="T87" s="103"/>
      <c r="U87" s="103"/>
      <c r="V87" s="103"/>
      <c r="W87" s="103"/>
      <c r="X87" s="103"/>
      <c r="Y87" s="293"/>
      <c r="Z87" s="103"/>
      <c r="AA87" s="186"/>
      <c r="AB87" s="105"/>
      <c r="AD87" s="106"/>
      <c r="AE87" s="106"/>
      <c r="AF87" s="106"/>
    </row>
    <row r="88" spans="1:32" s="109" customFormat="1" ht="12.75">
      <c r="A88" s="108" t="s">
        <v>99</v>
      </c>
      <c r="B88" s="109">
        <v>6</v>
      </c>
      <c r="C88" s="109">
        <v>0</v>
      </c>
      <c r="D88" s="109">
        <v>6</v>
      </c>
      <c r="E88" s="110">
        <v>3</v>
      </c>
      <c r="G88" s="109">
        <v>8</v>
      </c>
      <c r="H88" s="109">
        <v>10</v>
      </c>
      <c r="I88" s="109">
        <v>8</v>
      </c>
      <c r="J88" s="109">
        <v>0</v>
      </c>
      <c r="K88" s="109">
        <v>6</v>
      </c>
      <c r="L88" s="109">
        <v>6</v>
      </c>
      <c r="M88" s="109">
        <v>10</v>
      </c>
      <c r="N88" s="109">
        <v>6</v>
      </c>
      <c r="O88" s="109">
        <v>4</v>
      </c>
      <c r="Q88" s="109">
        <v>2</v>
      </c>
      <c r="R88" s="109">
        <v>4</v>
      </c>
      <c r="Y88" s="110"/>
      <c r="AA88" s="186"/>
      <c r="AD88" s="110"/>
      <c r="AE88" s="110"/>
      <c r="AF88" s="110"/>
    </row>
    <row r="89" spans="1:32" s="109" customFormat="1" ht="12.75">
      <c r="A89" s="108" t="s">
        <v>100</v>
      </c>
      <c r="B89" s="111">
        <v>91</v>
      </c>
      <c r="C89" s="111">
        <v>91</v>
      </c>
      <c r="D89" s="111">
        <v>91</v>
      </c>
      <c r="E89" s="300">
        <v>91</v>
      </c>
      <c r="G89" s="111">
        <v>91</v>
      </c>
      <c r="H89" s="111">
        <v>91</v>
      </c>
      <c r="I89" s="111">
        <v>91</v>
      </c>
      <c r="J89" s="111">
        <v>91</v>
      </c>
      <c r="K89" s="111">
        <v>91</v>
      </c>
      <c r="L89" s="111">
        <v>91</v>
      </c>
      <c r="M89" s="111">
        <v>91</v>
      </c>
      <c r="N89" s="111">
        <v>91</v>
      </c>
      <c r="O89" s="111">
        <v>91</v>
      </c>
      <c r="P89" s="111"/>
      <c r="Q89" s="111">
        <v>91</v>
      </c>
      <c r="R89" s="111">
        <v>91</v>
      </c>
      <c r="Y89" s="110"/>
      <c r="AA89" s="186"/>
      <c r="AD89" s="112"/>
      <c r="AE89" s="112"/>
      <c r="AF89" s="110"/>
    </row>
    <row r="90" spans="1:32" s="1" customFormat="1" ht="12.75">
      <c r="A90" s="30" t="s">
        <v>105</v>
      </c>
      <c r="B90" s="5">
        <f>B84*B85+B86*B87+B88*B89</f>
        <v>4662</v>
      </c>
      <c r="C90" s="5">
        <f>C84*C85+C86*C87+C88*C89</f>
        <v>0</v>
      </c>
      <c r="D90" s="5">
        <f>D84*D85+D86*D87+D88*D89</f>
        <v>4662</v>
      </c>
      <c r="E90" s="93">
        <f>E84*E85+E86*E87+E88*E89</f>
        <v>4389</v>
      </c>
      <c r="F90" s="5"/>
      <c r="G90" s="5">
        <f aca="true" t="shared" si="22" ref="G90:R90">G84*G85+G86*G87+G88*G89</f>
        <v>4744</v>
      </c>
      <c r="H90" s="5">
        <f t="shared" si="22"/>
        <v>6012</v>
      </c>
      <c r="I90" s="5">
        <f t="shared" si="22"/>
        <v>4744</v>
      </c>
      <c r="J90" s="5">
        <f t="shared" si="22"/>
        <v>0</v>
      </c>
      <c r="K90" s="5">
        <f t="shared" si="22"/>
        <v>2304</v>
      </c>
      <c r="L90" s="5">
        <f t="shared" si="22"/>
        <v>2304</v>
      </c>
      <c r="M90" s="5">
        <f t="shared" si="22"/>
        <v>6012</v>
      </c>
      <c r="N90" s="5">
        <f t="shared" si="22"/>
        <v>2304</v>
      </c>
      <c r="O90" s="5">
        <f t="shared" si="22"/>
        <v>1776</v>
      </c>
      <c r="P90" s="5"/>
      <c r="Q90" s="5">
        <f t="shared" si="22"/>
        <v>1311</v>
      </c>
      <c r="R90" s="5">
        <f t="shared" si="22"/>
        <v>1776</v>
      </c>
      <c r="Y90" s="82"/>
      <c r="AA90" s="182"/>
      <c r="AD90" s="93"/>
      <c r="AE90" s="93"/>
      <c r="AF90" s="82"/>
    </row>
    <row r="91" spans="1:32" s="6" customFormat="1" ht="12.75">
      <c r="A91" s="90" t="s">
        <v>106</v>
      </c>
      <c r="B91" s="92">
        <v>0</v>
      </c>
      <c r="C91" s="92">
        <v>0</v>
      </c>
      <c r="D91" s="92">
        <v>0</v>
      </c>
      <c r="E91" s="113">
        <v>0</v>
      </c>
      <c r="F91" s="92"/>
      <c r="G91" s="92">
        <f aca="true" t="shared" si="23" ref="G91:Q91">0.218*G90</f>
        <v>1034.192</v>
      </c>
      <c r="H91" s="92">
        <f t="shared" si="23"/>
        <v>1310.616</v>
      </c>
      <c r="I91" s="92">
        <f t="shared" si="23"/>
        <v>1034.192</v>
      </c>
      <c r="J91" s="92">
        <f t="shared" si="23"/>
        <v>0</v>
      </c>
      <c r="K91" s="92">
        <f t="shared" si="23"/>
        <v>502.272</v>
      </c>
      <c r="L91" s="92">
        <f t="shared" si="23"/>
        <v>502.272</v>
      </c>
      <c r="M91" s="92">
        <f t="shared" si="23"/>
        <v>1310.616</v>
      </c>
      <c r="N91" s="92">
        <f t="shared" si="23"/>
        <v>502.272</v>
      </c>
      <c r="O91" s="92">
        <f t="shared" si="23"/>
        <v>387.168</v>
      </c>
      <c r="P91" s="92"/>
      <c r="Q91" s="92">
        <f t="shared" si="23"/>
        <v>285.798</v>
      </c>
      <c r="R91" s="92">
        <v>0</v>
      </c>
      <c r="Y91" s="68"/>
      <c r="AA91" s="186"/>
      <c r="AD91" s="113"/>
      <c r="AE91" s="113"/>
      <c r="AF91" s="68"/>
    </row>
    <row r="92" spans="1:32" s="1" customFormat="1" ht="12.75">
      <c r="A92" s="30" t="s">
        <v>104</v>
      </c>
      <c r="B92" s="5">
        <f>B90+B91</f>
        <v>4662</v>
      </c>
      <c r="C92" s="5">
        <f>C90+C91</f>
        <v>0</v>
      </c>
      <c r="D92" s="5">
        <f>D90+D91</f>
        <v>4662</v>
      </c>
      <c r="E92" s="93">
        <f>E90+E91</f>
        <v>4389</v>
      </c>
      <c r="F92" s="5"/>
      <c r="G92" s="5">
        <f aca="true" t="shared" si="24" ref="G92:R92">G90+G91</f>
        <v>5778.192</v>
      </c>
      <c r="H92" s="5">
        <f t="shared" si="24"/>
        <v>7322.616</v>
      </c>
      <c r="I92" s="5">
        <f t="shared" si="24"/>
        <v>5778.192</v>
      </c>
      <c r="J92" s="5">
        <f t="shared" si="24"/>
        <v>0</v>
      </c>
      <c r="K92" s="5">
        <f t="shared" si="24"/>
        <v>2806.272</v>
      </c>
      <c r="L92" s="5">
        <f t="shared" si="24"/>
        <v>2806.272</v>
      </c>
      <c r="M92" s="5">
        <f t="shared" si="24"/>
        <v>7322.616</v>
      </c>
      <c r="N92" s="5">
        <f t="shared" si="24"/>
        <v>2806.272</v>
      </c>
      <c r="O92" s="5">
        <f t="shared" si="24"/>
        <v>2163.168</v>
      </c>
      <c r="P92" s="5"/>
      <c r="Q92" s="5">
        <f t="shared" si="24"/>
        <v>1596.798</v>
      </c>
      <c r="R92" s="5">
        <f t="shared" si="24"/>
        <v>1776</v>
      </c>
      <c r="Y92" s="82"/>
      <c r="AA92" s="182"/>
      <c r="AD92" s="93"/>
      <c r="AE92" s="93"/>
      <c r="AF92" s="82"/>
    </row>
    <row r="93" spans="1:32" s="1" customFormat="1" ht="12.75">
      <c r="A93" s="30"/>
      <c r="E93" s="82"/>
      <c r="AA93" s="182"/>
      <c r="AD93" s="93"/>
      <c r="AE93" s="93"/>
      <c r="AF93" s="82"/>
    </row>
    <row r="94" spans="2:19" ht="12.75">
      <c r="B94" s="123"/>
      <c r="C94" s="124"/>
      <c r="D94" s="135"/>
      <c r="E94" s="135"/>
      <c r="F94" s="136"/>
      <c r="G94" s="121"/>
      <c r="H94" s="121"/>
      <c r="I94" s="122"/>
      <c r="J94" s="138"/>
      <c r="K94" s="138"/>
      <c r="L94" s="126"/>
      <c r="M94" s="127"/>
      <c r="N94" s="139"/>
      <c r="O94" s="139"/>
      <c r="P94" s="139"/>
      <c r="Q94" s="139"/>
      <c r="R94" s="140"/>
      <c r="S94" s="141"/>
    </row>
    <row r="95" spans="2:19" ht="12.75">
      <c r="B95" s="123"/>
      <c r="C95" s="124"/>
      <c r="D95" s="135"/>
      <c r="E95" s="135"/>
      <c r="F95" s="136"/>
      <c r="G95" s="121"/>
      <c r="H95" s="121"/>
      <c r="I95" s="122"/>
      <c r="J95" s="138"/>
      <c r="K95" s="138"/>
      <c r="L95" s="126"/>
      <c r="M95" s="127"/>
      <c r="N95" s="139"/>
      <c r="O95" s="139"/>
      <c r="P95" s="139"/>
      <c r="Q95" s="139"/>
      <c r="R95" s="140"/>
      <c r="S95" s="141"/>
    </row>
    <row r="97" spans="1:13" ht="12.75">
      <c r="A97" s="1" t="s">
        <v>56</v>
      </c>
      <c r="B97" s="310" t="s">
        <v>202</v>
      </c>
      <c r="C97" s="311"/>
      <c r="D97" s="312">
        <f>SUM(B67:F67)</f>
        <v>187746.2</v>
      </c>
      <c r="G97" s="44"/>
      <c r="H97" s="44"/>
      <c r="I97" s="44"/>
      <c r="J97" s="153"/>
      <c r="K97" s="153"/>
      <c r="L97" s="153"/>
      <c r="M97" s="44"/>
    </row>
    <row r="98" spans="2:17" ht="12.75">
      <c r="B98" s="321" t="s">
        <v>220</v>
      </c>
      <c r="D98" s="316">
        <f>(D97-'FY06 Budget'!D96)/'FY06 Budget'!D96</f>
        <v>0.2068960640571042</v>
      </c>
      <c r="G98" s="44"/>
      <c r="H98" s="44"/>
      <c r="I98" s="44"/>
      <c r="J98" s="113"/>
      <c r="K98" s="113"/>
      <c r="L98" s="155"/>
      <c r="M98" s="156"/>
      <c r="N98" s="142"/>
      <c r="O98" s="142"/>
      <c r="P98" s="142"/>
      <c r="Q98" s="142"/>
    </row>
    <row r="99" spans="1:17" ht="12.75">
      <c r="A99" t="s">
        <v>57</v>
      </c>
      <c r="B99" s="321" t="s">
        <v>221</v>
      </c>
      <c r="D99" s="323">
        <f>D97-'FY06 Budget'!D96</f>
        <v>32185</v>
      </c>
      <c r="E99" s="320" t="s">
        <v>222</v>
      </c>
      <c r="G99" s="44"/>
      <c r="H99" s="44"/>
      <c r="I99" s="44"/>
      <c r="J99" s="113"/>
      <c r="K99" s="113"/>
      <c r="L99" s="155"/>
      <c r="M99" s="155"/>
      <c r="N99" s="19"/>
      <c r="O99" s="19"/>
      <c r="P99" s="19"/>
      <c r="Q99" s="19"/>
    </row>
    <row r="100" spans="1:17" ht="12.75">
      <c r="A100" t="s">
        <v>59</v>
      </c>
      <c r="G100" s="44"/>
      <c r="H100" s="44"/>
      <c r="I100" s="44"/>
      <c r="J100" s="113"/>
      <c r="K100" s="113"/>
      <c r="L100" s="155"/>
      <c r="M100" s="156"/>
      <c r="N100" s="142"/>
      <c r="O100" s="142"/>
      <c r="P100" s="142"/>
      <c r="Q100" s="142"/>
    </row>
    <row r="101" spans="1:13" ht="12.75">
      <c r="A101" t="s">
        <v>236</v>
      </c>
      <c r="G101" s="82"/>
      <c r="H101" s="44"/>
      <c r="I101" s="44"/>
      <c r="J101" s="157"/>
      <c r="K101" s="157"/>
      <c r="L101" s="157"/>
      <c r="M101" s="44"/>
    </row>
    <row r="102" spans="7:13" ht="12.75">
      <c r="G102" s="44"/>
      <c r="H102" s="44"/>
      <c r="I102" s="44"/>
      <c r="J102" s="44"/>
      <c r="K102" s="44"/>
      <c r="L102" s="44"/>
      <c r="M102" s="44"/>
    </row>
    <row r="103" spans="7:13" ht="12.75">
      <c r="G103" s="44"/>
      <c r="H103" s="44"/>
      <c r="I103" s="44"/>
      <c r="J103" s="155"/>
      <c r="K103" s="155"/>
      <c r="L103" s="155"/>
      <c r="M103" s="44"/>
    </row>
    <row r="104" spans="7:13" ht="12.75">
      <c r="G104" s="44"/>
      <c r="H104" s="44"/>
      <c r="I104" s="44"/>
      <c r="J104" s="155"/>
      <c r="K104" s="155"/>
      <c r="L104" s="155"/>
      <c r="M104" s="44"/>
    </row>
    <row r="105" spans="7:13" ht="12.75">
      <c r="G105" s="82"/>
      <c r="H105" s="44"/>
      <c r="I105" s="44"/>
      <c r="J105" s="157"/>
      <c r="K105" s="157"/>
      <c r="L105" s="157"/>
      <c r="M105" s="44"/>
    </row>
    <row r="106" spans="7:13" ht="12.75">
      <c r="G106" s="44"/>
      <c r="H106" s="44"/>
      <c r="I106" s="44"/>
      <c r="J106" s="44"/>
      <c r="K106" s="44"/>
      <c r="L106" s="44"/>
      <c r="M106" s="44"/>
    </row>
    <row r="107" spans="7:13" ht="12.75">
      <c r="G107" s="82"/>
      <c r="H107" s="44"/>
      <c r="I107" s="44"/>
      <c r="J107" s="157"/>
      <c r="K107" s="157"/>
      <c r="L107" s="157"/>
      <c r="M107" s="44"/>
    </row>
  </sheetData>
  <mergeCells count="3">
    <mergeCell ref="A61:A62"/>
    <mergeCell ref="Z3:Z4"/>
    <mergeCell ref="B4:F4"/>
  </mergeCells>
  <printOptions/>
  <pageMargins left="0.75" right="0.75" top="0.56" bottom="0.48" header="0.5" footer="0.5"/>
  <pageSetup fitToHeight="5" fitToWidth="2" horizontalDpi="600" verticalDpi="600" orientation="landscape" scale="34" r:id="rId3"/>
  <headerFooter alignWithMargins="0">
    <oddHeader>&amp;C&amp;F</oddHeader>
  </headerFooter>
  <legacyDrawing r:id="rId2"/>
</worksheet>
</file>

<file path=xl/worksheets/sheet3.xml><?xml version="1.0" encoding="utf-8"?>
<worksheet xmlns="http://schemas.openxmlformats.org/spreadsheetml/2006/main" xmlns:r="http://schemas.openxmlformats.org/officeDocument/2006/relationships">
  <dimension ref="A1:E43"/>
  <sheetViews>
    <sheetView zoomScale="75" zoomScaleNormal="75" workbookViewId="0" topLeftCell="A28">
      <selection activeCell="B37" sqref="B37"/>
    </sheetView>
  </sheetViews>
  <sheetFormatPr defaultColWidth="9.140625" defaultRowHeight="12.75"/>
  <cols>
    <col min="1" max="1" width="39.8515625" style="0" customWidth="1"/>
    <col min="2" max="2" width="47.57421875" style="0" customWidth="1"/>
    <col min="3" max="3" width="15.00390625" style="0" customWidth="1"/>
    <col min="4" max="4" width="29.00390625" style="0" customWidth="1"/>
    <col min="5" max="5" width="37.57421875" style="0" customWidth="1"/>
  </cols>
  <sheetData>
    <row r="1" spans="1:4" ht="18">
      <c r="A1" s="361" t="s">
        <v>264</v>
      </c>
      <c r="B1" s="361"/>
      <c r="C1" s="361"/>
      <c r="D1" s="361"/>
    </row>
    <row r="3" spans="1:5" ht="30" customHeight="1">
      <c r="A3" s="331" t="s">
        <v>237</v>
      </c>
      <c r="B3" s="331" t="s">
        <v>238</v>
      </c>
      <c r="C3" s="331" t="s">
        <v>243</v>
      </c>
      <c r="D3" s="331" t="s">
        <v>277</v>
      </c>
      <c r="E3" s="331" t="s">
        <v>295</v>
      </c>
    </row>
    <row r="4" spans="1:5" ht="12.75">
      <c r="A4" s="194"/>
      <c r="B4" s="194"/>
      <c r="C4" s="194"/>
      <c r="D4" s="194"/>
      <c r="E4" s="194"/>
    </row>
    <row r="5" spans="1:5" ht="20.25" customHeight="1">
      <c r="A5" s="359" t="s">
        <v>241</v>
      </c>
      <c r="B5" s="364"/>
      <c r="C5" s="364"/>
      <c r="D5" s="364"/>
      <c r="E5" s="194"/>
    </row>
    <row r="6" spans="1:5" ht="26.25" customHeight="1">
      <c r="A6" s="337" t="s">
        <v>281</v>
      </c>
      <c r="B6" s="332" t="s">
        <v>240</v>
      </c>
      <c r="C6" s="332" t="s">
        <v>245</v>
      </c>
      <c r="D6" s="333" t="s">
        <v>244</v>
      </c>
      <c r="E6" s="194"/>
    </row>
    <row r="7" spans="1:5" ht="26.25" customHeight="1">
      <c r="A7" s="337" t="s">
        <v>266</v>
      </c>
      <c r="B7" s="333" t="s">
        <v>242</v>
      </c>
      <c r="C7" s="332" t="s">
        <v>245</v>
      </c>
      <c r="D7" s="333" t="s">
        <v>249</v>
      </c>
      <c r="E7" s="194"/>
    </row>
    <row r="8" spans="1:5" ht="26.25" customHeight="1">
      <c r="A8" s="337" t="s">
        <v>282</v>
      </c>
      <c r="B8" s="333" t="s">
        <v>252</v>
      </c>
      <c r="C8" s="333" t="s">
        <v>246</v>
      </c>
      <c r="D8" s="333" t="s">
        <v>251</v>
      </c>
      <c r="E8" s="194"/>
    </row>
    <row r="9" spans="1:5" ht="42" customHeight="1">
      <c r="A9" s="337" t="s">
        <v>283</v>
      </c>
      <c r="B9" s="334" t="s">
        <v>248</v>
      </c>
      <c r="C9" s="333" t="s">
        <v>247</v>
      </c>
      <c r="D9" s="334" t="s">
        <v>250</v>
      </c>
      <c r="E9" s="194"/>
    </row>
    <row r="10" spans="1:5" ht="26.25" customHeight="1">
      <c r="A10" s="337" t="s">
        <v>284</v>
      </c>
      <c r="B10" s="333" t="s">
        <v>253</v>
      </c>
      <c r="C10" s="333" t="s">
        <v>254</v>
      </c>
      <c r="D10" s="333" t="s">
        <v>255</v>
      </c>
      <c r="E10" s="194"/>
    </row>
    <row r="11" spans="1:5" ht="26.25" customHeight="1">
      <c r="A11" s="337" t="s">
        <v>285</v>
      </c>
      <c r="B11" s="333" t="s">
        <v>256</v>
      </c>
      <c r="C11" s="333" t="s">
        <v>258</v>
      </c>
      <c r="D11" s="333" t="s">
        <v>257</v>
      </c>
      <c r="E11" s="194"/>
    </row>
    <row r="12" spans="1:5" ht="26.25" customHeight="1">
      <c r="A12" s="359" t="s">
        <v>125</v>
      </c>
      <c r="B12" s="364"/>
      <c r="C12" s="364"/>
      <c r="D12" s="364"/>
      <c r="E12" s="194"/>
    </row>
    <row r="13" spans="1:5" ht="26.25" customHeight="1">
      <c r="A13" s="338" t="s">
        <v>265</v>
      </c>
      <c r="B13" s="335" t="s">
        <v>274</v>
      </c>
      <c r="C13" s="335" t="s">
        <v>267</v>
      </c>
      <c r="D13" s="335" t="s">
        <v>272</v>
      </c>
      <c r="E13" s="194"/>
    </row>
    <row r="14" spans="1:5" ht="26.25" customHeight="1">
      <c r="A14" s="338" t="s">
        <v>286</v>
      </c>
      <c r="B14" s="335" t="s">
        <v>260</v>
      </c>
      <c r="C14" s="335" t="s">
        <v>261</v>
      </c>
      <c r="D14" s="333" t="s">
        <v>262</v>
      </c>
      <c r="E14" s="194"/>
    </row>
    <row r="15" spans="1:5" ht="26.25" customHeight="1">
      <c r="A15" s="359" t="s">
        <v>72</v>
      </c>
      <c r="B15" s="360"/>
      <c r="C15" s="360"/>
      <c r="D15" s="360"/>
      <c r="E15" s="194"/>
    </row>
    <row r="16" spans="1:5" ht="26.25" customHeight="1">
      <c r="A16" s="338" t="s">
        <v>288</v>
      </c>
      <c r="B16" s="335" t="s">
        <v>263</v>
      </c>
      <c r="C16" s="335" t="s">
        <v>267</v>
      </c>
      <c r="D16" s="335" t="s">
        <v>272</v>
      </c>
      <c r="E16" s="194"/>
    </row>
    <row r="17" spans="1:5" ht="26.25" customHeight="1">
      <c r="A17" s="338" t="s">
        <v>289</v>
      </c>
      <c r="B17" s="332" t="s">
        <v>239</v>
      </c>
      <c r="C17" s="335" t="s">
        <v>267</v>
      </c>
      <c r="D17" s="335" t="s">
        <v>270</v>
      </c>
      <c r="E17" s="194"/>
    </row>
    <row r="18" spans="1:5" ht="26.25" customHeight="1">
      <c r="A18" s="354" t="s">
        <v>73</v>
      </c>
      <c r="B18" s="362"/>
      <c r="C18" s="362"/>
      <c r="D18" s="363"/>
      <c r="E18" s="194"/>
    </row>
    <row r="19" spans="1:5" ht="55.5" customHeight="1">
      <c r="A19" s="338" t="s">
        <v>290</v>
      </c>
      <c r="B19" s="335" t="s">
        <v>273</v>
      </c>
      <c r="C19" s="335" t="s">
        <v>271</v>
      </c>
      <c r="D19" s="333" t="s">
        <v>276</v>
      </c>
      <c r="E19" s="194"/>
    </row>
    <row r="20" spans="1:5" ht="41.25" customHeight="1">
      <c r="A20" s="338" t="s">
        <v>291</v>
      </c>
      <c r="B20" s="335" t="s">
        <v>279</v>
      </c>
      <c r="C20" s="335" t="s">
        <v>259</v>
      </c>
      <c r="D20" s="333" t="s">
        <v>275</v>
      </c>
      <c r="E20" s="194"/>
    </row>
    <row r="21" spans="1:5" ht="31.5" customHeight="1">
      <c r="A21" s="338" t="s">
        <v>292</v>
      </c>
      <c r="B21" s="335" t="s">
        <v>280</v>
      </c>
      <c r="C21" s="335" t="s">
        <v>259</v>
      </c>
      <c r="D21" s="333" t="s">
        <v>287</v>
      </c>
      <c r="E21" s="194"/>
    </row>
    <row r="22" spans="1:5" ht="26.25" customHeight="1">
      <c r="A22" s="354" t="s">
        <v>75</v>
      </c>
      <c r="B22" s="355"/>
      <c r="C22" s="355"/>
      <c r="D22" s="356"/>
      <c r="E22" s="194"/>
    </row>
    <row r="23" spans="1:5" ht="54.75" customHeight="1">
      <c r="A23" s="338" t="s">
        <v>299</v>
      </c>
      <c r="B23" s="333" t="s">
        <v>296</v>
      </c>
      <c r="C23" s="333" t="s">
        <v>271</v>
      </c>
      <c r="D23" s="336" t="s">
        <v>328</v>
      </c>
      <c r="E23" s="194"/>
    </row>
    <row r="24" spans="1:5" ht="55.5" customHeight="1">
      <c r="A24" s="338" t="s">
        <v>300</v>
      </c>
      <c r="B24" s="333" t="s">
        <v>312</v>
      </c>
      <c r="C24" s="333" t="s">
        <v>294</v>
      </c>
      <c r="D24" s="333" t="s">
        <v>311</v>
      </c>
      <c r="E24" s="194"/>
    </row>
    <row r="25" spans="1:5" ht="58.5" customHeight="1">
      <c r="A25" s="338" t="s">
        <v>301</v>
      </c>
      <c r="B25" s="333" t="s">
        <v>305</v>
      </c>
      <c r="C25" s="333" t="s">
        <v>298</v>
      </c>
      <c r="D25" s="333" t="s">
        <v>304</v>
      </c>
      <c r="E25" s="194"/>
    </row>
    <row r="26" spans="1:5" ht="30" customHeight="1">
      <c r="A26" s="341" t="s">
        <v>302</v>
      </c>
      <c r="B26" s="333" t="s">
        <v>306</v>
      </c>
      <c r="C26" s="333" t="s">
        <v>298</v>
      </c>
      <c r="D26" s="333" t="s">
        <v>317</v>
      </c>
      <c r="E26" s="194"/>
    </row>
    <row r="27" spans="1:5" ht="42.75" customHeight="1">
      <c r="A27" s="341" t="s">
        <v>303</v>
      </c>
      <c r="B27" s="333" t="s">
        <v>310</v>
      </c>
      <c r="C27" s="333" t="s">
        <v>298</v>
      </c>
      <c r="D27" s="333" t="s">
        <v>316</v>
      </c>
      <c r="E27" s="194"/>
    </row>
    <row r="28" spans="1:5" ht="43.5" customHeight="1">
      <c r="A28" s="341" t="s">
        <v>307</v>
      </c>
      <c r="B28" s="333" t="s">
        <v>308</v>
      </c>
      <c r="C28" s="333" t="s">
        <v>298</v>
      </c>
      <c r="D28" s="333" t="s">
        <v>315</v>
      </c>
      <c r="E28" s="194"/>
    </row>
    <row r="29" spans="1:5" ht="59.25" customHeight="1">
      <c r="A29" s="341" t="s">
        <v>309</v>
      </c>
      <c r="B29" s="333" t="s">
        <v>313</v>
      </c>
      <c r="C29" s="333" t="s">
        <v>298</v>
      </c>
      <c r="D29" s="333" t="s">
        <v>314</v>
      </c>
      <c r="E29" s="194"/>
    </row>
    <row r="30" spans="1:5" ht="36" customHeight="1">
      <c r="A30" s="341" t="s">
        <v>320</v>
      </c>
      <c r="B30" s="333" t="s">
        <v>319</v>
      </c>
      <c r="C30" s="333" t="s">
        <v>298</v>
      </c>
      <c r="D30" s="333" t="s">
        <v>318</v>
      </c>
      <c r="E30" s="194"/>
    </row>
    <row r="31" spans="1:5" ht="33" customHeight="1">
      <c r="A31" s="338" t="s">
        <v>323</v>
      </c>
      <c r="B31" s="333" t="s">
        <v>322</v>
      </c>
      <c r="C31" s="333" t="s">
        <v>298</v>
      </c>
      <c r="D31" s="333" t="s">
        <v>321</v>
      </c>
      <c r="E31" s="194"/>
    </row>
    <row r="32" spans="1:5" ht="31.5" customHeight="1">
      <c r="A32" s="338" t="s">
        <v>324</v>
      </c>
      <c r="B32" s="333" t="s">
        <v>325</v>
      </c>
      <c r="C32" s="333" t="s">
        <v>298</v>
      </c>
      <c r="D32" s="333" t="s">
        <v>326</v>
      </c>
      <c r="E32" s="194"/>
    </row>
    <row r="33" spans="1:5" ht="26.25" customHeight="1">
      <c r="A33" s="357" t="s">
        <v>74</v>
      </c>
      <c r="B33" s="355"/>
      <c r="C33" s="355"/>
      <c r="D33" s="356"/>
      <c r="E33" s="194"/>
    </row>
    <row r="34" spans="1:5" ht="26.25" customHeight="1">
      <c r="A34" s="338" t="s">
        <v>331</v>
      </c>
      <c r="B34" s="333" t="s">
        <v>327</v>
      </c>
      <c r="C34" s="333" t="s">
        <v>298</v>
      </c>
      <c r="D34" s="333" t="s">
        <v>326</v>
      </c>
      <c r="E34" s="194"/>
    </row>
    <row r="35" spans="1:5" ht="26.25" customHeight="1">
      <c r="A35" s="357" t="s">
        <v>103</v>
      </c>
      <c r="B35" s="355"/>
      <c r="C35" s="355"/>
      <c r="D35" s="356"/>
      <c r="E35" s="194"/>
    </row>
    <row r="36" spans="1:5" ht="45" customHeight="1">
      <c r="A36" s="338" t="s">
        <v>332</v>
      </c>
      <c r="B36" s="342" t="s">
        <v>330</v>
      </c>
      <c r="C36" s="333" t="s">
        <v>298</v>
      </c>
      <c r="D36" s="343" t="s">
        <v>329</v>
      </c>
      <c r="E36" s="194"/>
    </row>
    <row r="37" spans="1:4" ht="26.25" customHeight="1">
      <c r="A37" s="313"/>
      <c r="B37" s="330"/>
      <c r="C37" s="330"/>
      <c r="D37" s="329"/>
    </row>
    <row r="38" ht="17.25" customHeight="1">
      <c r="A38" s="1" t="s">
        <v>56</v>
      </c>
    </row>
    <row r="39" spans="1:4" ht="32.25" customHeight="1">
      <c r="A39" s="353" t="s">
        <v>269</v>
      </c>
      <c r="B39" s="358"/>
      <c r="C39" s="358"/>
      <c r="D39" s="358"/>
    </row>
    <row r="40" spans="1:4" ht="31.5" customHeight="1">
      <c r="A40" s="353" t="s">
        <v>268</v>
      </c>
      <c r="B40" s="352"/>
      <c r="C40" s="352"/>
      <c r="D40" s="352"/>
    </row>
    <row r="41" spans="1:4" ht="18.75" customHeight="1">
      <c r="A41" s="340" t="s">
        <v>293</v>
      </c>
      <c r="B41" s="339"/>
      <c r="C41" s="339"/>
      <c r="D41" s="339"/>
    </row>
    <row r="42" spans="1:4" ht="45.75" customHeight="1">
      <c r="A42" s="353" t="s">
        <v>297</v>
      </c>
      <c r="B42" s="352"/>
      <c r="C42" s="352"/>
      <c r="D42" s="352"/>
    </row>
    <row r="43" spans="1:4" ht="27.75" customHeight="1">
      <c r="A43" s="351" t="s">
        <v>278</v>
      </c>
      <c r="B43" s="352"/>
      <c r="C43" s="352"/>
      <c r="D43" s="352"/>
    </row>
  </sheetData>
  <mergeCells count="12">
    <mergeCell ref="A15:D15"/>
    <mergeCell ref="A1:D1"/>
    <mergeCell ref="A40:D40"/>
    <mergeCell ref="A18:D18"/>
    <mergeCell ref="A5:D5"/>
    <mergeCell ref="A12:D12"/>
    <mergeCell ref="A43:D43"/>
    <mergeCell ref="A42:D42"/>
    <mergeCell ref="A22:D22"/>
    <mergeCell ref="A33:D33"/>
    <mergeCell ref="A35:D35"/>
    <mergeCell ref="A39:D39"/>
  </mergeCells>
  <printOptions/>
  <pageMargins left="0.75" right="0.75" top="1" bottom="1" header="0.5" footer="0.5"/>
  <pageSetup horizontalDpi="1200" verticalDpi="1200" orientation="landscape" scale="90" r:id="rId1"/>
</worksheet>
</file>

<file path=xl/worksheets/sheet4.xml><?xml version="1.0" encoding="utf-8"?>
<worksheet xmlns="http://schemas.openxmlformats.org/spreadsheetml/2006/main" xmlns:r="http://schemas.openxmlformats.org/officeDocument/2006/relationships">
  <dimension ref="A1:AH106"/>
  <sheetViews>
    <sheetView zoomScale="75" zoomScaleNormal="75" workbookViewId="0" topLeftCell="A1">
      <pane xSplit="1" ySplit="5" topLeftCell="G21" activePane="bottomRight" state="frozen"/>
      <selection pane="topLeft" activeCell="A1" sqref="A1"/>
      <selection pane="topRight" activeCell="B1" sqref="B1"/>
      <selection pane="bottomLeft" activeCell="A6" sqref="A6"/>
      <selection pane="bottomRight" activeCell="Y22" sqref="Y22"/>
    </sheetView>
  </sheetViews>
  <sheetFormatPr defaultColWidth="9.140625" defaultRowHeight="12.75"/>
  <cols>
    <col min="1" max="1" width="64.140625" style="0" customWidth="1"/>
    <col min="2" max="2" width="12.8515625" style="0" customWidth="1"/>
    <col min="3" max="3" width="11.421875" style="0" customWidth="1"/>
    <col min="4" max="5" width="13.421875" style="0" customWidth="1"/>
    <col min="6" max="6" width="13.00390625" style="0" customWidth="1"/>
    <col min="7" max="9" width="13.8515625" style="0" customWidth="1"/>
    <col min="10" max="10" width="14.421875" style="0" customWidth="1"/>
    <col min="11" max="11" width="15.421875" style="0" customWidth="1"/>
    <col min="12" max="12" width="13.421875" style="0" customWidth="1"/>
    <col min="13" max="14" width="14.421875" style="0" customWidth="1"/>
    <col min="15" max="22" width="13.7109375" style="0" customWidth="1"/>
    <col min="23" max="23" width="13.7109375" style="186" customWidth="1"/>
    <col min="24" max="25" width="13.7109375" style="0" customWidth="1"/>
    <col min="26" max="26" width="13.421875" style="0" bestFit="1" customWidth="1"/>
    <col min="27" max="27" width="11.421875" style="44" customWidth="1"/>
    <col min="28" max="28" width="15.28125" style="0" customWidth="1"/>
    <col min="29" max="29" width="13.28125" style="0" bestFit="1" customWidth="1"/>
    <col min="30" max="16384" width="8.8515625" style="0" customWidth="1"/>
  </cols>
  <sheetData>
    <row r="1" spans="1:29" ht="12.75">
      <c r="A1" s="1" t="s">
        <v>14</v>
      </c>
      <c r="E1" s="19">
        <f>Z70</f>
        <v>-0.05665348866023123</v>
      </c>
      <c r="H1" s="15" t="s">
        <v>26</v>
      </c>
      <c r="AC1" t="s">
        <v>131</v>
      </c>
    </row>
    <row r="2" ht="13.5" thickBot="1"/>
    <row r="3" spans="1:28" ht="38.25">
      <c r="A3" s="143" t="s">
        <v>184</v>
      </c>
      <c r="B3" s="7" t="s">
        <v>138</v>
      </c>
      <c r="C3" s="8"/>
      <c r="D3" s="8"/>
      <c r="E3" s="8"/>
      <c r="F3" s="302"/>
      <c r="G3" s="159" t="s">
        <v>186</v>
      </c>
      <c r="H3" s="159" t="s">
        <v>50</v>
      </c>
      <c r="I3" s="160" t="s">
        <v>51</v>
      </c>
      <c r="J3" s="160" t="s">
        <v>48</v>
      </c>
      <c r="K3" s="159" t="s">
        <v>33</v>
      </c>
      <c r="L3" s="160" t="s">
        <v>47</v>
      </c>
      <c r="M3" s="160" t="s">
        <v>49</v>
      </c>
      <c r="N3" s="160" t="s">
        <v>46</v>
      </c>
      <c r="O3" s="147" t="s">
        <v>39</v>
      </c>
      <c r="P3" s="146" t="s">
        <v>41</v>
      </c>
      <c r="Q3" s="146" t="s">
        <v>42</v>
      </c>
      <c r="R3" s="146" t="s">
        <v>43</v>
      </c>
      <c r="S3" s="146" t="s">
        <v>44</v>
      </c>
      <c r="T3" s="146" t="s">
        <v>45</v>
      </c>
      <c r="U3" s="196" t="s">
        <v>156</v>
      </c>
      <c r="V3" s="347" t="s">
        <v>9</v>
      </c>
      <c r="W3" s="188" t="s">
        <v>110</v>
      </c>
      <c r="X3" s="20" t="s">
        <v>113</v>
      </c>
      <c r="Y3" s="21" t="s">
        <v>110</v>
      </c>
      <c r="Z3" s="24" t="s">
        <v>146</v>
      </c>
      <c r="AB3" s="21" t="s">
        <v>11</v>
      </c>
    </row>
    <row r="4" spans="2:28" ht="25.5">
      <c r="B4" s="349" t="s">
        <v>126</v>
      </c>
      <c r="C4" s="350"/>
      <c r="D4" s="350"/>
      <c r="E4" s="350"/>
      <c r="F4" s="350"/>
      <c r="G4" s="9" t="s">
        <v>139</v>
      </c>
      <c r="H4" s="9" t="s">
        <v>140</v>
      </c>
      <c r="I4" s="9" t="s">
        <v>141</v>
      </c>
      <c r="J4" s="9" t="s">
        <v>142</v>
      </c>
      <c r="K4" s="9" t="s">
        <v>194</v>
      </c>
      <c r="L4" s="9" t="s">
        <v>144</v>
      </c>
      <c r="M4" s="9" t="s">
        <v>198</v>
      </c>
      <c r="N4" s="9" t="s">
        <v>108</v>
      </c>
      <c r="O4" s="130" t="s">
        <v>40</v>
      </c>
      <c r="P4" s="130" t="s">
        <v>37</v>
      </c>
      <c r="Q4" s="130" t="s">
        <v>38</v>
      </c>
      <c r="R4" s="130" t="s">
        <v>34</v>
      </c>
      <c r="S4" s="130" t="s">
        <v>35</v>
      </c>
      <c r="T4" s="130" t="s">
        <v>36</v>
      </c>
      <c r="U4" s="130" t="s">
        <v>157</v>
      </c>
      <c r="V4" s="348"/>
      <c r="W4" s="189" t="s">
        <v>123</v>
      </c>
      <c r="X4" s="9" t="s">
        <v>112</v>
      </c>
      <c r="Y4" s="9" t="s">
        <v>114</v>
      </c>
      <c r="Z4" s="25" t="s">
        <v>115</v>
      </c>
      <c r="AA4" s="166"/>
      <c r="AB4" s="9" t="s">
        <v>12</v>
      </c>
    </row>
    <row r="5" spans="1:29" s="3" customFormat="1" ht="64.5" thickBot="1">
      <c r="A5" s="3" t="s">
        <v>129</v>
      </c>
      <c r="B5" s="11" t="s">
        <v>127</v>
      </c>
      <c r="C5" s="10" t="s">
        <v>128</v>
      </c>
      <c r="D5" s="42" t="s">
        <v>19</v>
      </c>
      <c r="E5" s="285" t="s">
        <v>180</v>
      </c>
      <c r="F5" s="42" t="s">
        <v>179</v>
      </c>
      <c r="G5" s="42" t="s">
        <v>20</v>
      </c>
      <c r="H5" s="42" t="s">
        <v>185</v>
      </c>
      <c r="I5" s="42" t="s">
        <v>21</v>
      </c>
      <c r="J5" s="42" t="s">
        <v>109</v>
      </c>
      <c r="K5" s="42" t="s">
        <v>181</v>
      </c>
      <c r="L5" s="42" t="s">
        <v>22</v>
      </c>
      <c r="M5" s="42" t="s">
        <v>182</v>
      </c>
      <c r="N5" s="42" t="s">
        <v>183</v>
      </c>
      <c r="O5" s="12" t="s">
        <v>153</v>
      </c>
      <c r="P5" s="42" t="s">
        <v>24</v>
      </c>
      <c r="Q5" s="42" t="s">
        <v>52</v>
      </c>
      <c r="R5" s="42" t="s">
        <v>118</v>
      </c>
      <c r="S5" s="42" t="s">
        <v>195</v>
      </c>
      <c r="T5" s="42" t="s">
        <v>120</v>
      </c>
      <c r="U5" s="285" t="s">
        <v>158</v>
      </c>
      <c r="V5" s="42"/>
      <c r="W5" s="190"/>
      <c r="X5" s="10"/>
      <c r="Y5" s="9"/>
      <c r="Z5" s="25" t="s">
        <v>112</v>
      </c>
      <c r="AA5" s="165" t="s">
        <v>27</v>
      </c>
      <c r="AB5" s="9"/>
      <c r="AC5" s="3" t="s">
        <v>148</v>
      </c>
    </row>
    <row r="6" spans="1:27" ht="12.75">
      <c r="A6" t="s">
        <v>130</v>
      </c>
      <c r="B6" s="44">
        <v>1100</v>
      </c>
      <c r="C6">
        <v>683</v>
      </c>
      <c r="D6">
        <v>615</v>
      </c>
      <c r="E6" s="44">
        <v>615</v>
      </c>
      <c r="F6">
        <v>400</v>
      </c>
      <c r="G6" s="46">
        <v>450</v>
      </c>
      <c r="H6" s="47">
        <f>287.12*1.218</f>
        <v>349.71216</v>
      </c>
      <c r="I6" s="47">
        <v>430</v>
      </c>
      <c r="J6" s="48">
        <v>385</v>
      </c>
      <c r="K6" s="47">
        <v>430</v>
      </c>
      <c r="L6" s="49">
        <v>400</v>
      </c>
      <c r="M6" s="49">
        <v>400</v>
      </c>
      <c r="N6" s="49">
        <v>400</v>
      </c>
      <c r="O6" s="49">
        <v>680</v>
      </c>
      <c r="P6">
        <v>0</v>
      </c>
      <c r="Q6">
        <v>0</v>
      </c>
      <c r="R6">
        <v>0</v>
      </c>
      <c r="S6">
        <v>0</v>
      </c>
      <c r="T6">
        <v>0</v>
      </c>
      <c r="U6" s="44">
        <v>0</v>
      </c>
      <c r="V6">
        <v>0</v>
      </c>
      <c r="Z6" s="26"/>
      <c r="AA6" s="167"/>
    </row>
    <row r="7" spans="1:27" ht="12.75">
      <c r="A7" t="s">
        <v>199</v>
      </c>
      <c r="B7" s="41">
        <f>B6/7.5</f>
        <v>146.66666666666666</v>
      </c>
      <c r="C7" s="41">
        <f>C6/7.5</f>
        <v>91.06666666666666</v>
      </c>
      <c r="D7" s="41">
        <f>D6/7.5</f>
        <v>82</v>
      </c>
      <c r="E7" s="41">
        <f>E6/7.5</f>
        <v>82</v>
      </c>
      <c r="F7" s="41">
        <f>F6/7.5</f>
        <v>53.333333333333336</v>
      </c>
      <c r="G7" s="46"/>
      <c r="H7" s="47"/>
      <c r="I7" s="47"/>
      <c r="J7" s="48"/>
      <c r="K7" s="47"/>
      <c r="L7" s="49"/>
      <c r="M7" s="49"/>
      <c r="N7" s="49"/>
      <c r="O7" s="49"/>
      <c r="U7" s="44"/>
      <c r="Z7" s="31"/>
      <c r="AA7" s="167"/>
    </row>
    <row r="8" spans="1:27" ht="12.75">
      <c r="A8" t="s">
        <v>122</v>
      </c>
      <c r="B8" s="41">
        <f aca="true" t="shared" si="0" ref="B8:U8">B66/260</f>
        <v>0.21179615384615386</v>
      </c>
      <c r="C8" s="41">
        <f t="shared" si="0"/>
        <v>0</v>
      </c>
      <c r="D8" s="41">
        <f t="shared" si="0"/>
        <v>0.36153846153846153</v>
      </c>
      <c r="E8" s="57">
        <f t="shared" si="0"/>
        <v>0.225</v>
      </c>
      <c r="F8" s="41">
        <f t="shared" si="0"/>
        <v>0.011538461538461539</v>
      </c>
      <c r="G8" s="41">
        <f t="shared" si="0"/>
        <v>0.9477115384615384</v>
      </c>
      <c r="H8" s="41">
        <f t="shared" si="0"/>
        <v>0.9246846153846154</v>
      </c>
      <c r="I8" s="41">
        <f t="shared" si="0"/>
        <v>0.86575</v>
      </c>
      <c r="J8" s="41">
        <f t="shared" si="0"/>
        <v>0</v>
      </c>
      <c r="K8" s="41">
        <f t="shared" si="0"/>
        <v>0.9730769230769231</v>
      </c>
      <c r="L8" s="67">
        <f t="shared" si="0"/>
        <v>0.24586923076923078</v>
      </c>
      <c r="M8" s="67">
        <f t="shared" si="0"/>
        <v>0.8879730769230769</v>
      </c>
      <c r="N8" s="67">
        <f t="shared" si="0"/>
        <v>0.4402153846153846</v>
      </c>
      <c r="O8" s="41">
        <f t="shared" si="0"/>
        <v>0.16968076923076922</v>
      </c>
      <c r="P8" s="47">
        <f t="shared" si="0"/>
        <v>0.7846153846153846</v>
      </c>
      <c r="Q8" s="60">
        <f t="shared" si="0"/>
        <v>1.103846153846154</v>
      </c>
      <c r="R8" s="60">
        <f t="shared" si="0"/>
        <v>0.75</v>
      </c>
      <c r="S8" s="47">
        <f t="shared" si="0"/>
        <v>0.31153846153846154</v>
      </c>
      <c r="T8" s="47">
        <f t="shared" si="0"/>
        <v>0.5</v>
      </c>
      <c r="U8" s="46">
        <f t="shared" si="0"/>
        <v>0.1</v>
      </c>
      <c r="V8" s="59">
        <f>SUM(P8:T8)</f>
        <v>3.45</v>
      </c>
      <c r="Z8" s="31"/>
      <c r="AA8" s="167"/>
    </row>
    <row r="9" spans="1:28" ht="12.75">
      <c r="A9" t="s">
        <v>121</v>
      </c>
      <c r="B9" s="41"/>
      <c r="E9" s="44"/>
      <c r="G9" s="49"/>
      <c r="H9" s="49"/>
      <c r="I9" s="49"/>
      <c r="J9" s="49"/>
      <c r="K9" s="49"/>
      <c r="L9" s="49"/>
      <c r="M9" s="49"/>
      <c r="N9" s="49"/>
      <c r="O9" s="49"/>
      <c r="P9" s="54" t="s">
        <v>119</v>
      </c>
      <c r="Q9" s="55">
        <v>1.125</v>
      </c>
      <c r="R9" s="54">
        <v>0.75</v>
      </c>
      <c r="S9" s="54">
        <v>0.5</v>
      </c>
      <c r="T9" s="54">
        <v>0.5</v>
      </c>
      <c r="U9" s="57"/>
      <c r="Y9" s="33" t="s">
        <v>116</v>
      </c>
      <c r="Z9" s="40"/>
      <c r="AA9" s="168"/>
      <c r="AB9" s="34"/>
    </row>
    <row r="10" spans="1:28" ht="12.75">
      <c r="A10" t="s">
        <v>159</v>
      </c>
      <c r="E10" s="295"/>
      <c r="G10" s="49"/>
      <c r="H10" s="49"/>
      <c r="I10" s="49"/>
      <c r="J10" s="49"/>
      <c r="K10" s="49"/>
      <c r="L10" s="49"/>
      <c r="M10" s="49"/>
      <c r="N10" s="49"/>
      <c r="O10" s="49"/>
      <c r="P10" s="57"/>
      <c r="Q10" s="58"/>
      <c r="R10" s="57"/>
      <c r="S10" s="57"/>
      <c r="T10" s="57"/>
      <c r="U10" s="57"/>
      <c r="Y10" s="35" t="s">
        <v>111</v>
      </c>
      <c r="Z10" s="56"/>
      <c r="AA10" s="167"/>
      <c r="AB10" s="36"/>
    </row>
    <row r="11" spans="1:28" ht="12.75">
      <c r="A11" s="1" t="s">
        <v>197</v>
      </c>
      <c r="E11" s="44"/>
      <c r="G11" s="49"/>
      <c r="H11" s="49"/>
      <c r="I11" s="49"/>
      <c r="J11" s="49"/>
      <c r="K11" s="49"/>
      <c r="L11" s="49"/>
      <c r="M11" s="49"/>
      <c r="N11" s="49"/>
      <c r="O11" s="49"/>
      <c r="U11" s="44"/>
      <c r="Y11" s="37" t="s">
        <v>117</v>
      </c>
      <c r="Z11" s="38"/>
      <c r="AA11" s="169"/>
      <c r="AB11" s="36"/>
    </row>
    <row r="12" spans="1:27" s="1" customFormat="1" ht="12.75">
      <c r="A12" s="4"/>
      <c r="E12" s="82"/>
      <c r="G12" s="50"/>
      <c r="H12" s="50"/>
      <c r="I12" s="50"/>
      <c r="J12" s="50"/>
      <c r="K12" s="50"/>
      <c r="L12" s="50"/>
      <c r="M12" s="50"/>
      <c r="N12" s="50"/>
      <c r="O12" s="50"/>
      <c r="U12" s="82"/>
      <c r="W12" s="182"/>
      <c r="AA12" s="82"/>
    </row>
    <row r="13" spans="1:28" s="1" customFormat="1" ht="12.75">
      <c r="A13" s="4"/>
      <c r="E13" s="82"/>
      <c r="G13" s="50"/>
      <c r="H13" s="50"/>
      <c r="I13" s="50"/>
      <c r="J13" s="50"/>
      <c r="K13" s="50"/>
      <c r="L13" s="50"/>
      <c r="M13" s="50"/>
      <c r="N13" s="50"/>
      <c r="O13" s="50"/>
      <c r="U13" s="82"/>
      <c r="W13" s="182"/>
      <c r="Y13" s="63"/>
      <c r="Z13" s="64"/>
      <c r="AA13" s="65"/>
      <c r="AB13" s="65"/>
    </row>
    <row r="14" spans="1:34" s="1" customFormat="1" ht="12.75">
      <c r="A14" s="43" t="s">
        <v>102</v>
      </c>
      <c r="E14" s="82"/>
      <c r="G14" s="50"/>
      <c r="H14" s="50"/>
      <c r="I14" s="50"/>
      <c r="J14" s="50"/>
      <c r="K14" s="50"/>
      <c r="L14" s="50"/>
      <c r="M14" s="50"/>
      <c r="N14" s="50"/>
      <c r="O14" s="50"/>
      <c r="U14" s="82"/>
      <c r="W14" s="182"/>
      <c r="AA14" s="82"/>
      <c r="AD14"/>
      <c r="AE14"/>
      <c r="AF14"/>
      <c r="AG14"/>
      <c r="AH14"/>
    </row>
    <row r="15" spans="1:34" s="1" customFormat="1" ht="12.75">
      <c r="A15" s="68" t="s">
        <v>55</v>
      </c>
      <c r="B15" s="6">
        <v>4</v>
      </c>
      <c r="C15" s="6"/>
      <c r="D15" s="6">
        <v>5</v>
      </c>
      <c r="E15" s="68">
        <v>0</v>
      </c>
      <c r="F15" s="6"/>
      <c r="G15" s="49">
        <v>4</v>
      </c>
      <c r="H15" s="49">
        <v>4</v>
      </c>
      <c r="I15" s="49">
        <v>4</v>
      </c>
      <c r="J15" s="49"/>
      <c r="K15" s="49">
        <v>4</v>
      </c>
      <c r="L15" s="49"/>
      <c r="M15" s="49">
        <v>4</v>
      </c>
      <c r="N15" s="49">
        <v>4</v>
      </c>
      <c r="O15" s="49"/>
      <c r="P15" s="49">
        <v>4</v>
      </c>
      <c r="Q15" s="49">
        <v>4</v>
      </c>
      <c r="R15" s="6">
        <v>10</v>
      </c>
      <c r="S15" s="49">
        <v>4</v>
      </c>
      <c r="T15" s="49">
        <v>4</v>
      </c>
      <c r="U15" s="286">
        <v>0</v>
      </c>
      <c r="V15" s="6">
        <f aca="true" t="shared" si="1" ref="V15:V20">SUM(P15:T15)</f>
        <v>26</v>
      </c>
      <c r="W15" s="186">
        <f aca="true" t="shared" si="2" ref="W15:W20">SUM(B15:O15)</f>
        <v>33</v>
      </c>
      <c r="X15" s="131">
        <f aca="true" t="shared" si="3" ref="X15:X20">SUMPRODUCT(B15:O15,$B$6:$O$6)</f>
        <v>17313.84864</v>
      </c>
      <c r="Y15" s="131">
        <f aca="true" t="shared" si="4" ref="Y15:Y20">+(W15/$W$66)*($W$71+$W$72+$X$77)</f>
        <v>2595.2916412122645</v>
      </c>
      <c r="Z15" s="27">
        <f aca="true" t="shared" si="5" ref="Z15:Z20">X15+Y15</f>
        <v>19909.140281212265</v>
      </c>
      <c r="AA15" s="170"/>
      <c r="AB15" s="132">
        <f aca="true" t="shared" si="6" ref="AB15:AB20">Z15*2</f>
        <v>39818.28056242453</v>
      </c>
      <c r="AC15"/>
      <c r="AD15"/>
      <c r="AE15"/>
      <c r="AF15"/>
      <c r="AG15"/>
      <c r="AH15"/>
    </row>
    <row r="16" spans="1:34" s="1" customFormat="1" ht="12.75">
      <c r="A16" s="68" t="s">
        <v>53</v>
      </c>
      <c r="B16" s="6">
        <v>1</v>
      </c>
      <c r="C16" s="6"/>
      <c r="D16" s="6">
        <v>4</v>
      </c>
      <c r="E16" s="68">
        <v>0</v>
      </c>
      <c r="F16" s="6"/>
      <c r="G16" s="49">
        <v>2</v>
      </c>
      <c r="H16" s="49">
        <v>2</v>
      </c>
      <c r="I16" s="49">
        <v>2</v>
      </c>
      <c r="J16" s="49"/>
      <c r="K16" s="49">
        <v>2</v>
      </c>
      <c r="L16" s="49">
        <v>1</v>
      </c>
      <c r="M16" s="49">
        <v>2</v>
      </c>
      <c r="N16" s="49">
        <v>2</v>
      </c>
      <c r="O16" s="49"/>
      <c r="P16" s="49">
        <v>2</v>
      </c>
      <c r="Q16" s="49">
        <v>2</v>
      </c>
      <c r="R16" s="6">
        <v>5</v>
      </c>
      <c r="S16" s="49">
        <v>2</v>
      </c>
      <c r="T16" s="49">
        <v>2</v>
      </c>
      <c r="U16" s="286">
        <v>0</v>
      </c>
      <c r="V16" s="6">
        <f t="shared" si="1"/>
        <v>13</v>
      </c>
      <c r="W16" s="186">
        <f t="shared" si="2"/>
        <v>18</v>
      </c>
      <c r="X16" s="131">
        <f t="shared" si="3"/>
        <v>8879.42432</v>
      </c>
      <c r="Y16" s="131">
        <f t="shared" si="4"/>
        <v>1415.613622479417</v>
      </c>
      <c r="Z16" s="27">
        <f t="shared" si="5"/>
        <v>10295.037942479417</v>
      </c>
      <c r="AA16" s="170"/>
      <c r="AB16" s="132">
        <f t="shared" si="6"/>
        <v>20590.075884958835</v>
      </c>
      <c r="AC16"/>
      <c r="AD16"/>
      <c r="AE16"/>
      <c r="AF16"/>
      <c r="AG16"/>
      <c r="AH16"/>
    </row>
    <row r="17" spans="1:34" s="1" customFormat="1" ht="12.75">
      <c r="A17" s="68" t="s">
        <v>178</v>
      </c>
      <c r="B17" s="6">
        <v>2</v>
      </c>
      <c r="C17" s="6"/>
      <c r="D17" s="6">
        <v>7</v>
      </c>
      <c r="E17" s="68">
        <v>2</v>
      </c>
      <c r="F17" s="6">
        <v>1</v>
      </c>
      <c r="G17" s="49">
        <v>3</v>
      </c>
      <c r="H17" s="49">
        <v>3</v>
      </c>
      <c r="I17" s="49">
        <v>3</v>
      </c>
      <c r="J17" s="49"/>
      <c r="K17" s="49">
        <v>3</v>
      </c>
      <c r="L17" s="49">
        <v>2</v>
      </c>
      <c r="M17" s="49">
        <v>3</v>
      </c>
      <c r="N17" s="49">
        <v>3</v>
      </c>
      <c r="O17" s="49">
        <v>2</v>
      </c>
      <c r="P17" s="49">
        <v>3</v>
      </c>
      <c r="Q17" s="49">
        <v>3</v>
      </c>
      <c r="R17" s="6">
        <v>15</v>
      </c>
      <c r="S17" s="49">
        <v>3</v>
      </c>
      <c r="T17" s="49">
        <v>3</v>
      </c>
      <c r="U17" s="286">
        <v>1</v>
      </c>
      <c r="V17" s="6">
        <f t="shared" si="1"/>
        <v>27</v>
      </c>
      <c r="W17" s="186">
        <f t="shared" si="2"/>
        <v>34</v>
      </c>
      <c r="X17" s="131">
        <f t="shared" si="3"/>
        <v>17674.13648</v>
      </c>
      <c r="Y17" s="131">
        <f t="shared" si="4"/>
        <v>2673.936842461121</v>
      </c>
      <c r="Z17" s="27">
        <f t="shared" si="5"/>
        <v>20348.07332246112</v>
      </c>
      <c r="AA17" s="170"/>
      <c r="AB17" s="132">
        <f t="shared" si="6"/>
        <v>40696.14664492224</v>
      </c>
      <c r="AC17"/>
      <c r="AD17"/>
      <c r="AE17"/>
      <c r="AF17"/>
      <c r="AG17"/>
      <c r="AH17"/>
    </row>
    <row r="18" spans="1:34" s="1" customFormat="1" ht="12.75">
      <c r="A18" s="68" t="s">
        <v>15</v>
      </c>
      <c r="B18" s="6">
        <v>8</v>
      </c>
      <c r="C18" s="6"/>
      <c r="D18" s="6">
        <v>10</v>
      </c>
      <c r="E18" s="68">
        <v>6</v>
      </c>
      <c r="F18" s="6"/>
      <c r="G18" s="49">
        <v>8</v>
      </c>
      <c r="H18" s="49">
        <v>8</v>
      </c>
      <c r="I18" s="49">
        <v>8</v>
      </c>
      <c r="J18" s="49"/>
      <c r="K18" s="49">
        <v>8</v>
      </c>
      <c r="L18" s="49">
        <v>8</v>
      </c>
      <c r="M18" s="49">
        <v>8</v>
      </c>
      <c r="N18" s="49">
        <v>8</v>
      </c>
      <c r="O18" s="49">
        <v>5</v>
      </c>
      <c r="P18" s="49">
        <v>8</v>
      </c>
      <c r="Q18" s="49">
        <v>8</v>
      </c>
      <c r="R18" s="6">
        <v>20</v>
      </c>
      <c r="S18" s="49">
        <v>8</v>
      </c>
      <c r="T18" s="49">
        <v>8</v>
      </c>
      <c r="U18" s="286">
        <v>1.5</v>
      </c>
      <c r="V18" s="6">
        <f t="shared" si="1"/>
        <v>52</v>
      </c>
      <c r="W18" s="186">
        <f t="shared" si="2"/>
        <v>85</v>
      </c>
      <c r="X18" s="131">
        <f t="shared" si="3"/>
        <v>44917.69728</v>
      </c>
      <c r="Y18" s="131">
        <f t="shared" si="4"/>
        <v>6684.842106152802</v>
      </c>
      <c r="Z18" s="27">
        <f t="shared" si="5"/>
        <v>51602.5393861528</v>
      </c>
      <c r="AA18" s="170"/>
      <c r="AB18" s="132">
        <f t="shared" si="6"/>
        <v>103205.0787723056</v>
      </c>
      <c r="AC18"/>
      <c r="AD18"/>
      <c r="AE18"/>
      <c r="AF18"/>
      <c r="AG18"/>
      <c r="AH18"/>
    </row>
    <row r="19" spans="1:34" s="1" customFormat="1" ht="12.75">
      <c r="A19" s="68" t="s">
        <v>60</v>
      </c>
      <c r="B19" s="6">
        <v>4</v>
      </c>
      <c r="C19" s="6"/>
      <c r="D19" s="6">
        <v>3</v>
      </c>
      <c r="E19" s="68">
        <v>0</v>
      </c>
      <c r="F19" s="6"/>
      <c r="G19" s="49">
        <v>3</v>
      </c>
      <c r="H19" s="49">
        <v>3</v>
      </c>
      <c r="I19" s="49">
        <v>3</v>
      </c>
      <c r="J19" s="49"/>
      <c r="K19" s="49">
        <v>3</v>
      </c>
      <c r="L19" s="49">
        <v>2</v>
      </c>
      <c r="M19" s="49">
        <v>3</v>
      </c>
      <c r="N19" s="49">
        <v>8</v>
      </c>
      <c r="O19" s="49">
        <v>2</v>
      </c>
      <c r="P19" s="49">
        <v>3</v>
      </c>
      <c r="Q19" s="49">
        <v>3</v>
      </c>
      <c r="R19" s="6">
        <v>20</v>
      </c>
      <c r="S19" s="49"/>
      <c r="T19" s="49">
        <v>3</v>
      </c>
      <c r="U19" s="286">
        <v>0</v>
      </c>
      <c r="V19" s="6">
        <f t="shared" si="1"/>
        <v>29</v>
      </c>
      <c r="W19" s="186">
        <f t="shared" si="2"/>
        <v>34</v>
      </c>
      <c r="X19" s="131">
        <f t="shared" si="3"/>
        <v>17784.13648</v>
      </c>
      <c r="Y19" s="131">
        <f t="shared" si="4"/>
        <v>2673.936842461121</v>
      </c>
      <c r="Z19" s="27">
        <f t="shared" si="5"/>
        <v>20458.07332246112</v>
      </c>
      <c r="AA19" s="170"/>
      <c r="AB19" s="132">
        <f t="shared" si="6"/>
        <v>40916.14664492224</v>
      </c>
      <c r="AC19"/>
      <c r="AD19"/>
      <c r="AE19"/>
      <c r="AF19"/>
      <c r="AG19"/>
      <c r="AH19"/>
    </row>
    <row r="20" spans="1:34" s="1" customFormat="1" ht="12.75">
      <c r="A20" s="68" t="s">
        <v>58</v>
      </c>
      <c r="B20" s="6">
        <v>4</v>
      </c>
      <c r="C20" s="6"/>
      <c r="D20" s="6">
        <v>2</v>
      </c>
      <c r="E20" s="68">
        <v>0</v>
      </c>
      <c r="F20" s="6"/>
      <c r="G20" s="49">
        <v>2</v>
      </c>
      <c r="H20" s="49">
        <v>2</v>
      </c>
      <c r="I20" s="49">
        <v>2</v>
      </c>
      <c r="J20" s="49"/>
      <c r="K20" s="49">
        <v>2</v>
      </c>
      <c r="L20" s="49">
        <v>1</v>
      </c>
      <c r="M20" s="49">
        <v>2</v>
      </c>
      <c r="N20" s="49">
        <v>2</v>
      </c>
      <c r="O20" s="49"/>
      <c r="P20" s="49">
        <v>2</v>
      </c>
      <c r="Q20" s="49">
        <v>2</v>
      </c>
      <c r="R20" s="6">
        <v>20</v>
      </c>
      <c r="S20" s="49"/>
      <c r="T20" s="6"/>
      <c r="U20" s="286">
        <v>0</v>
      </c>
      <c r="V20" s="6">
        <f t="shared" si="1"/>
        <v>24</v>
      </c>
      <c r="W20" s="186">
        <f t="shared" si="2"/>
        <v>19</v>
      </c>
      <c r="X20" s="131">
        <f t="shared" si="3"/>
        <v>10949.42432</v>
      </c>
      <c r="Y20" s="131">
        <f t="shared" si="4"/>
        <v>1494.2588237282735</v>
      </c>
      <c r="Z20" s="27">
        <f t="shared" si="5"/>
        <v>12443.683143728274</v>
      </c>
      <c r="AA20" s="170"/>
      <c r="AB20" s="132">
        <f t="shared" si="6"/>
        <v>24887.36628745655</v>
      </c>
      <c r="AC20"/>
      <c r="AD20"/>
      <c r="AE20"/>
      <c r="AF20"/>
      <c r="AG20"/>
      <c r="AH20"/>
    </row>
    <row r="21" spans="1:34" s="1" customFormat="1" ht="12.75">
      <c r="A21" s="68"/>
      <c r="E21" s="82"/>
      <c r="G21" s="50"/>
      <c r="H21" s="50"/>
      <c r="I21" s="50"/>
      <c r="J21" s="50"/>
      <c r="K21" s="50"/>
      <c r="L21" s="50"/>
      <c r="M21" s="50"/>
      <c r="N21" s="50"/>
      <c r="O21" s="50"/>
      <c r="U21" s="82"/>
      <c r="V21" s="6"/>
      <c r="W21" s="186"/>
      <c r="X21" s="131"/>
      <c r="Y21" s="131"/>
      <c r="Z21" s="144"/>
      <c r="AA21" s="171"/>
      <c r="AB21" s="132"/>
      <c r="AC21"/>
      <c r="AD21"/>
      <c r="AE21"/>
      <c r="AF21"/>
      <c r="AG21"/>
      <c r="AH21"/>
    </row>
    <row r="22" spans="1:34" s="1" customFormat="1" ht="12.75">
      <c r="A22" s="4" t="s">
        <v>135</v>
      </c>
      <c r="B22" s="1">
        <f>SUM(B15:B21)</f>
        <v>23</v>
      </c>
      <c r="C22" s="1">
        <f aca="true" t="shared" si="7" ref="C22:X22">SUM(C15:C21)</f>
        <v>0</v>
      </c>
      <c r="D22" s="1">
        <f t="shared" si="7"/>
        <v>31</v>
      </c>
      <c r="E22" s="82">
        <f t="shared" si="7"/>
        <v>8</v>
      </c>
      <c r="F22" s="1">
        <f t="shared" si="7"/>
        <v>1</v>
      </c>
      <c r="G22" s="1">
        <f t="shared" si="7"/>
        <v>22</v>
      </c>
      <c r="H22" s="1">
        <f t="shared" si="7"/>
        <v>22</v>
      </c>
      <c r="I22" s="1">
        <f t="shared" si="7"/>
        <v>22</v>
      </c>
      <c r="J22" s="1">
        <f t="shared" si="7"/>
        <v>0</v>
      </c>
      <c r="K22" s="1">
        <f t="shared" si="7"/>
        <v>22</v>
      </c>
      <c r="L22" s="1">
        <f t="shared" si="7"/>
        <v>14</v>
      </c>
      <c r="M22" s="1">
        <f t="shared" si="7"/>
        <v>22</v>
      </c>
      <c r="N22" s="1">
        <f t="shared" si="7"/>
        <v>27</v>
      </c>
      <c r="O22" s="1">
        <f t="shared" si="7"/>
        <v>9</v>
      </c>
      <c r="P22" s="1">
        <f t="shared" si="7"/>
        <v>22</v>
      </c>
      <c r="Q22" s="1">
        <f t="shared" si="7"/>
        <v>22</v>
      </c>
      <c r="R22" s="1">
        <f t="shared" si="7"/>
        <v>90</v>
      </c>
      <c r="S22" s="1">
        <f t="shared" si="7"/>
        <v>17</v>
      </c>
      <c r="T22" s="1">
        <f t="shared" si="7"/>
        <v>20</v>
      </c>
      <c r="U22" s="82">
        <f t="shared" si="7"/>
        <v>2.5</v>
      </c>
      <c r="V22" s="1">
        <f t="shared" si="7"/>
        <v>171</v>
      </c>
      <c r="W22" s="182">
        <f t="shared" si="7"/>
        <v>223</v>
      </c>
      <c r="X22" s="93">
        <f t="shared" si="7"/>
        <v>117518.66752000002</v>
      </c>
      <c r="Y22" s="93">
        <f>W70+W73+SUM(Y15:Y20)</f>
        <v>108435.19187849501</v>
      </c>
      <c r="Z22" s="28">
        <f>X22+Y22</f>
        <v>225953.85939849503</v>
      </c>
      <c r="AA22" s="176">
        <f>Z22/$Z$66</f>
        <v>0.23323016073995798</v>
      </c>
      <c r="AB22" s="45">
        <f>Z22*2</f>
        <v>451907.71879699006</v>
      </c>
      <c r="AC22"/>
      <c r="AD22" s="1">
        <f>SUM(AD15:AD21)</f>
        <v>0</v>
      </c>
      <c r="AE22"/>
      <c r="AF22"/>
      <c r="AG22"/>
      <c r="AH22"/>
    </row>
    <row r="23" spans="1:28" s="1" customFormat="1" ht="12.75">
      <c r="A23" s="4"/>
      <c r="E23" s="82"/>
      <c r="G23" s="50"/>
      <c r="H23" s="50"/>
      <c r="I23" s="50"/>
      <c r="J23" s="50"/>
      <c r="K23" s="50"/>
      <c r="L23" s="50"/>
      <c r="M23" s="50"/>
      <c r="N23" s="50"/>
      <c r="O23" s="50"/>
      <c r="U23" s="82"/>
      <c r="W23" s="182"/>
      <c r="Y23" s="63"/>
      <c r="Z23" s="39"/>
      <c r="AA23" s="65"/>
      <c r="AB23" s="65"/>
    </row>
    <row r="24" spans="1:27" ht="12.75">
      <c r="A24" s="1" t="s">
        <v>125</v>
      </c>
      <c r="B24" s="150" t="s">
        <v>16</v>
      </c>
      <c r="E24" s="44"/>
      <c r="G24" s="49"/>
      <c r="H24" s="49"/>
      <c r="I24" s="49"/>
      <c r="J24" s="49"/>
      <c r="K24" s="49"/>
      <c r="L24" s="49"/>
      <c r="M24" s="49"/>
      <c r="N24" s="49"/>
      <c r="O24" s="49"/>
      <c r="U24" s="44"/>
      <c r="Z24" s="32"/>
      <c r="AA24" s="167"/>
    </row>
    <row r="25" spans="1:28" ht="12.75">
      <c r="A25" s="6" t="s">
        <v>193</v>
      </c>
      <c r="B25">
        <v>0.5</v>
      </c>
      <c r="C25" s="6"/>
      <c r="D25">
        <v>7</v>
      </c>
      <c r="E25" s="44">
        <v>0</v>
      </c>
      <c r="G25" s="49">
        <v>15</v>
      </c>
      <c r="H25" s="49">
        <v>15</v>
      </c>
      <c r="I25" s="49">
        <v>15</v>
      </c>
      <c r="J25" s="49"/>
      <c r="K25" s="49">
        <v>15</v>
      </c>
      <c r="L25" s="49"/>
      <c r="M25" s="49">
        <v>10</v>
      </c>
      <c r="N25" s="49"/>
      <c r="O25" s="49">
        <v>7</v>
      </c>
      <c r="Q25">
        <v>10</v>
      </c>
      <c r="U25" s="286">
        <v>0</v>
      </c>
      <c r="V25" s="6">
        <f>SUM(P25:T25)</f>
        <v>10</v>
      </c>
      <c r="W25" s="186">
        <f>SUM(B25:O25)</f>
        <v>84.5</v>
      </c>
      <c r="X25" s="131">
        <f>SUMPRODUCT(B25:O25,$B$6:$O$6)</f>
        <v>38510.6824</v>
      </c>
      <c r="Y25" s="131">
        <f>+(W25/$W$66)*($W$71+$W$72+$X$77)</f>
        <v>6645.519505528374</v>
      </c>
      <c r="Z25" s="27">
        <f>X25+Y25</f>
        <v>45156.201905528374</v>
      </c>
      <c r="AA25" s="170"/>
      <c r="AB25" s="132">
        <f>Z25*2</f>
        <v>90312.40381105675</v>
      </c>
    </row>
    <row r="26" spans="1:28" ht="12.75">
      <c r="A26" s="6" t="s">
        <v>23</v>
      </c>
      <c r="B26">
        <v>0.5</v>
      </c>
      <c r="C26" s="6"/>
      <c r="D26">
        <v>2</v>
      </c>
      <c r="E26" s="44">
        <v>0</v>
      </c>
      <c r="G26" s="49">
        <v>25</v>
      </c>
      <c r="H26" s="49">
        <v>25</v>
      </c>
      <c r="I26" s="49">
        <v>25</v>
      </c>
      <c r="J26" s="49"/>
      <c r="K26" s="49">
        <v>25</v>
      </c>
      <c r="L26" s="49">
        <v>20</v>
      </c>
      <c r="M26" s="49">
        <v>25</v>
      </c>
      <c r="N26" s="49">
        <v>25</v>
      </c>
      <c r="O26" s="49"/>
      <c r="P26">
        <v>132</v>
      </c>
      <c r="T26">
        <v>10</v>
      </c>
      <c r="U26" s="286">
        <v>0</v>
      </c>
      <c r="V26" s="6">
        <f>SUM(P26:T26)</f>
        <v>142</v>
      </c>
      <c r="W26" s="186">
        <f>SUM(B26:O26)</f>
        <v>172.5</v>
      </c>
      <c r="X26" s="131">
        <f>SUMPRODUCT(B26:O26,$B$6:$O$6)</f>
        <v>71272.804</v>
      </c>
      <c r="Y26" s="131">
        <f>+(W26/$W$66)*($W$71+$W$72+$X$77)</f>
        <v>13566.297215427745</v>
      </c>
      <c r="Z26" s="27">
        <f>X26+Y26</f>
        <v>84839.10121542774</v>
      </c>
      <c r="AA26" s="170"/>
      <c r="AB26" s="132">
        <f>Z26*2</f>
        <v>169678.20243085548</v>
      </c>
    </row>
    <row r="27" spans="1:28" ht="12.75">
      <c r="A27" s="6" t="s">
        <v>192</v>
      </c>
      <c r="B27">
        <v>0.5</v>
      </c>
      <c r="C27" s="6"/>
      <c r="D27">
        <v>2</v>
      </c>
      <c r="E27" s="44">
        <v>0</v>
      </c>
      <c r="G27" s="49">
        <v>5</v>
      </c>
      <c r="H27" s="49">
        <v>5</v>
      </c>
      <c r="I27" s="49">
        <v>5</v>
      </c>
      <c r="J27" s="49"/>
      <c r="K27" s="49">
        <v>5</v>
      </c>
      <c r="L27" s="49"/>
      <c r="M27" s="49">
        <v>5</v>
      </c>
      <c r="N27" s="49">
        <v>5</v>
      </c>
      <c r="O27" s="49"/>
      <c r="P27">
        <v>5</v>
      </c>
      <c r="Q27">
        <v>5</v>
      </c>
      <c r="R27">
        <v>5</v>
      </c>
      <c r="U27" s="286">
        <v>0</v>
      </c>
      <c r="V27" s="6">
        <f>SUM(P27:T27)</f>
        <v>15</v>
      </c>
      <c r="W27" s="186">
        <f>SUM(B27:O27)</f>
        <v>32.5</v>
      </c>
      <c r="X27" s="131">
        <f>SUMPRODUCT(B27:O27,$B$6:$O$6)</f>
        <v>14078.5608</v>
      </c>
      <c r="Y27" s="131">
        <f>+(W27/$W$66)*($W$71+$W$72+$X$77)</f>
        <v>2555.969040587836</v>
      </c>
      <c r="Z27" s="27">
        <f>X27+Y27</f>
        <v>16634.529840587835</v>
      </c>
      <c r="AA27" s="170"/>
      <c r="AB27" s="132">
        <f>Z27*2</f>
        <v>33269.05968117567</v>
      </c>
    </row>
    <row r="28" spans="1:28" ht="12.75">
      <c r="A28" s="6"/>
      <c r="E28" s="44"/>
      <c r="G28" s="49"/>
      <c r="H28" s="49"/>
      <c r="I28" s="49"/>
      <c r="J28" s="49"/>
      <c r="K28" s="49"/>
      <c r="L28" s="49"/>
      <c r="M28" s="49"/>
      <c r="N28" s="49"/>
      <c r="O28" s="49"/>
      <c r="U28" s="44"/>
      <c r="V28" s="6"/>
      <c r="X28" s="131"/>
      <c r="Y28" s="131"/>
      <c r="Z28" s="145"/>
      <c r="AA28" s="170"/>
      <c r="AB28" s="132"/>
    </row>
    <row r="29" spans="1:28" ht="12.75">
      <c r="A29" s="4" t="s">
        <v>136</v>
      </c>
      <c r="B29" s="1">
        <f>SUM(B25:B28)</f>
        <v>1.5</v>
      </c>
      <c r="C29" s="1">
        <f aca="true" t="shared" si="8" ref="C29:AB29">SUM(C25:C28)</f>
        <v>0</v>
      </c>
      <c r="D29" s="1">
        <f t="shared" si="8"/>
        <v>11</v>
      </c>
      <c r="E29" s="82">
        <f t="shared" si="8"/>
        <v>0</v>
      </c>
      <c r="F29" s="1">
        <f t="shared" si="8"/>
        <v>0</v>
      </c>
      <c r="G29" s="1">
        <f t="shared" si="8"/>
        <v>45</v>
      </c>
      <c r="H29" s="1">
        <f t="shared" si="8"/>
        <v>45</v>
      </c>
      <c r="I29" s="1">
        <f t="shared" si="8"/>
        <v>45</v>
      </c>
      <c r="J29" s="1">
        <f t="shared" si="8"/>
        <v>0</v>
      </c>
      <c r="K29" s="1">
        <f t="shared" si="8"/>
        <v>45</v>
      </c>
      <c r="L29" s="1">
        <f t="shared" si="8"/>
        <v>20</v>
      </c>
      <c r="M29" s="1">
        <f t="shared" si="8"/>
        <v>40</v>
      </c>
      <c r="N29" s="1">
        <f t="shared" si="8"/>
        <v>30</v>
      </c>
      <c r="O29" s="1">
        <f t="shared" si="8"/>
        <v>7</v>
      </c>
      <c r="P29" s="1">
        <f t="shared" si="8"/>
        <v>137</v>
      </c>
      <c r="Q29" s="1">
        <f t="shared" si="8"/>
        <v>15</v>
      </c>
      <c r="R29" s="1">
        <f t="shared" si="8"/>
        <v>5</v>
      </c>
      <c r="S29" s="1">
        <f t="shared" si="8"/>
        <v>0</v>
      </c>
      <c r="T29" s="1">
        <f t="shared" si="8"/>
        <v>10</v>
      </c>
      <c r="U29" s="82">
        <f t="shared" si="8"/>
        <v>0</v>
      </c>
      <c r="V29" s="1">
        <f t="shared" si="8"/>
        <v>167</v>
      </c>
      <c r="W29" s="182">
        <f t="shared" si="8"/>
        <v>289.5</v>
      </c>
      <c r="X29" s="5">
        <f t="shared" si="8"/>
        <v>123862.0472</v>
      </c>
      <c r="Y29" s="5">
        <f t="shared" si="8"/>
        <v>22767.785761543953</v>
      </c>
      <c r="Z29" s="5">
        <f t="shared" si="8"/>
        <v>146629.83296154396</v>
      </c>
      <c r="AA29" s="176">
        <f>Z29/$Z$66</f>
        <v>0.1513516945536265</v>
      </c>
      <c r="AB29" s="5">
        <f t="shared" si="8"/>
        <v>293259.6659230879</v>
      </c>
    </row>
    <row r="30" spans="1:28" ht="12.75">
      <c r="A30" s="1"/>
      <c r="E30" s="44"/>
      <c r="G30" s="49"/>
      <c r="H30" s="49"/>
      <c r="I30" s="49"/>
      <c r="J30" s="49"/>
      <c r="K30" s="49"/>
      <c r="L30" s="49"/>
      <c r="M30" s="49"/>
      <c r="N30" s="49"/>
      <c r="O30" s="49"/>
      <c r="U30" s="44"/>
      <c r="X30" s="131"/>
      <c r="Y30" s="131"/>
      <c r="Z30" s="133"/>
      <c r="AA30" s="172"/>
      <c r="AB30" s="131"/>
    </row>
    <row r="31" spans="1:28" ht="12.75">
      <c r="A31" s="1" t="s">
        <v>72</v>
      </c>
      <c r="B31" s="150" t="s">
        <v>16</v>
      </c>
      <c r="E31" s="44"/>
      <c r="G31" s="49"/>
      <c r="H31" s="49"/>
      <c r="I31" s="49"/>
      <c r="J31" s="49"/>
      <c r="K31" s="49"/>
      <c r="L31" s="49"/>
      <c r="M31" s="49"/>
      <c r="N31" s="49"/>
      <c r="O31" s="49"/>
      <c r="U31" s="44"/>
      <c r="X31" s="131"/>
      <c r="Y31" s="131"/>
      <c r="Z31" s="133"/>
      <c r="AA31" s="172"/>
      <c r="AB31" s="131"/>
    </row>
    <row r="32" spans="1:28" ht="12.75">
      <c r="A32" s="6" t="s">
        <v>64</v>
      </c>
      <c r="B32">
        <v>0.5</v>
      </c>
      <c r="D32">
        <v>1</v>
      </c>
      <c r="E32" s="44">
        <v>0</v>
      </c>
      <c r="G32" s="49">
        <v>5</v>
      </c>
      <c r="H32" s="49">
        <v>5</v>
      </c>
      <c r="I32" s="49">
        <v>5</v>
      </c>
      <c r="J32" s="49"/>
      <c r="K32" s="49">
        <v>2</v>
      </c>
      <c r="L32" s="49"/>
      <c r="M32" s="49">
        <v>5</v>
      </c>
      <c r="N32" s="49">
        <v>3</v>
      </c>
      <c r="O32" s="49"/>
      <c r="P32">
        <v>25</v>
      </c>
      <c r="Q32" s="49"/>
      <c r="R32">
        <v>10</v>
      </c>
      <c r="U32" s="286">
        <v>0</v>
      </c>
      <c r="V32" s="6">
        <f>SUM(P32:T32)</f>
        <v>35</v>
      </c>
      <c r="W32" s="186">
        <f>SUM(B32:O32)</f>
        <v>26.5</v>
      </c>
      <c r="X32" s="131">
        <f>SUMPRODUCT(B32:O32,$B$6:$O$6)</f>
        <v>11373.5608</v>
      </c>
      <c r="Y32" s="131">
        <f>+(W32/$W$66)*($W$71+$W$72+$X$77)</f>
        <v>2084.0978330946973</v>
      </c>
      <c r="Z32" s="29">
        <f>X32+Y32</f>
        <v>13457.658633094696</v>
      </c>
      <c r="AA32" s="173"/>
      <c r="AB32" s="132">
        <f>Z32*2</f>
        <v>26915.31726618939</v>
      </c>
    </row>
    <row r="33" spans="1:28" ht="12.75">
      <c r="A33" s="6" t="s">
        <v>63</v>
      </c>
      <c r="B33">
        <v>0.5</v>
      </c>
      <c r="D33">
        <v>1</v>
      </c>
      <c r="E33" s="44">
        <v>0</v>
      </c>
      <c r="G33" s="49">
        <v>1</v>
      </c>
      <c r="H33" s="49">
        <v>1</v>
      </c>
      <c r="I33" s="49">
        <v>1</v>
      </c>
      <c r="J33" s="49"/>
      <c r="K33" s="49">
        <v>2</v>
      </c>
      <c r="L33" s="49"/>
      <c r="M33" s="49">
        <v>1</v>
      </c>
      <c r="N33" s="49"/>
      <c r="O33" s="49"/>
      <c r="Q33" s="49"/>
      <c r="R33">
        <v>30</v>
      </c>
      <c r="U33" s="286">
        <v>0</v>
      </c>
      <c r="V33" s="6">
        <f>SUM(P33:T33)</f>
        <v>30</v>
      </c>
      <c r="W33" s="186">
        <f>SUM(B33:O33)</f>
        <v>7.5</v>
      </c>
      <c r="X33" s="131">
        <f>SUMPRODUCT(B33:O33,$B$6:$O$6)</f>
        <v>3654.71216</v>
      </c>
      <c r="Y33" s="131">
        <f>+(W33/$W$66)*($W$71+$W$72+$X$77)</f>
        <v>589.8390093664237</v>
      </c>
      <c r="Z33" s="27">
        <f>X33+Y33</f>
        <v>4244.551169366424</v>
      </c>
      <c r="AA33" s="170"/>
      <c r="AB33" s="132">
        <f>Z33*2</f>
        <v>8489.102338732848</v>
      </c>
    </row>
    <row r="34" spans="1:30" ht="12.75">
      <c r="A34" t="s">
        <v>65</v>
      </c>
      <c r="B34">
        <v>0.5</v>
      </c>
      <c r="D34">
        <v>1</v>
      </c>
      <c r="E34" s="44">
        <v>0</v>
      </c>
      <c r="G34" s="49">
        <v>5</v>
      </c>
      <c r="H34" s="49">
        <v>5</v>
      </c>
      <c r="I34" s="49">
        <v>5</v>
      </c>
      <c r="J34" s="49"/>
      <c r="K34" s="49">
        <v>5</v>
      </c>
      <c r="L34" s="49">
        <v>2</v>
      </c>
      <c r="M34" s="49">
        <v>5</v>
      </c>
      <c r="N34" s="49">
        <v>3</v>
      </c>
      <c r="O34" s="49"/>
      <c r="P34" s="6">
        <v>10</v>
      </c>
      <c r="Q34" s="49"/>
      <c r="R34" s="6">
        <v>5</v>
      </c>
      <c r="S34" s="6"/>
      <c r="T34" s="6">
        <v>5</v>
      </c>
      <c r="U34" s="286">
        <v>0</v>
      </c>
      <c r="V34" s="6">
        <f>SUM(P34:T34)</f>
        <v>20</v>
      </c>
      <c r="W34" s="186">
        <f>SUM(B34:O34)</f>
        <v>31.5</v>
      </c>
      <c r="X34" s="131">
        <f>SUMPRODUCT(B34:O34,$B$6:$O$6)</f>
        <v>13463.5608</v>
      </c>
      <c r="Y34" s="131">
        <f>+(W34/$W$66)*($W$71+$W$72+$X$77)</f>
        <v>2477.3238393389797</v>
      </c>
      <c r="Z34" s="27">
        <f>X34+Y34</f>
        <v>15940.88463933898</v>
      </c>
      <c r="AA34" s="170"/>
      <c r="AB34" s="132">
        <f>Z34*2</f>
        <v>31881.76927867796</v>
      </c>
      <c r="AD34" s="1"/>
    </row>
    <row r="35" spans="5:30" ht="12.75">
      <c r="E35" s="44"/>
      <c r="G35" s="49"/>
      <c r="H35" s="49"/>
      <c r="I35" s="49"/>
      <c r="J35" s="49"/>
      <c r="K35" s="49"/>
      <c r="L35" s="49"/>
      <c r="M35" s="49"/>
      <c r="N35" s="49"/>
      <c r="O35" s="49"/>
      <c r="P35" s="6"/>
      <c r="Q35" s="49"/>
      <c r="R35" s="6"/>
      <c r="S35" s="6"/>
      <c r="T35" s="6"/>
      <c r="U35" s="68"/>
      <c r="V35" s="6"/>
      <c r="X35" s="131"/>
      <c r="Y35" s="131"/>
      <c r="Z35" s="145"/>
      <c r="AA35" s="170"/>
      <c r="AB35" s="132"/>
      <c r="AD35" s="1"/>
    </row>
    <row r="36" spans="1:28" s="1" customFormat="1" ht="12.75">
      <c r="A36" s="4" t="s">
        <v>137</v>
      </c>
      <c r="B36" s="1">
        <f>SUM(B32:B35)</f>
        <v>1.5</v>
      </c>
      <c r="C36" s="1">
        <f aca="true" t="shared" si="9" ref="C36:AB36">SUM(C32:C35)</f>
        <v>0</v>
      </c>
      <c r="D36" s="1">
        <f t="shared" si="9"/>
        <v>3</v>
      </c>
      <c r="E36" s="82">
        <f t="shared" si="9"/>
        <v>0</v>
      </c>
      <c r="F36" s="1">
        <f t="shared" si="9"/>
        <v>0</v>
      </c>
      <c r="G36" s="1">
        <f t="shared" si="9"/>
        <v>11</v>
      </c>
      <c r="H36" s="1">
        <f t="shared" si="9"/>
        <v>11</v>
      </c>
      <c r="I36" s="1">
        <f t="shared" si="9"/>
        <v>11</v>
      </c>
      <c r="J36" s="1">
        <f t="shared" si="9"/>
        <v>0</v>
      </c>
      <c r="K36" s="1">
        <f t="shared" si="9"/>
        <v>9</v>
      </c>
      <c r="L36" s="1">
        <f t="shared" si="9"/>
        <v>2</v>
      </c>
      <c r="M36" s="1">
        <f t="shared" si="9"/>
        <v>11</v>
      </c>
      <c r="N36" s="1">
        <f t="shared" si="9"/>
        <v>6</v>
      </c>
      <c r="O36" s="1">
        <f t="shared" si="9"/>
        <v>0</v>
      </c>
      <c r="P36" s="1">
        <f t="shared" si="9"/>
        <v>35</v>
      </c>
      <c r="Q36" s="1">
        <f t="shared" si="9"/>
        <v>0</v>
      </c>
      <c r="R36" s="1">
        <f t="shared" si="9"/>
        <v>45</v>
      </c>
      <c r="S36" s="1">
        <f t="shared" si="9"/>
        <v>0</v>
      </c>
      <c r="T36" s="1">
        <f t="shared" si="9"/>
        <v>5</v>
      </c>
      <c r="U36" s="82">
        <f t="shared" si="9"/>
        <v>0</v>
      </c>
      <c r="V36" s="1">
        <f t="shared" si="9"/>
        <v>85</v>
      </c>
      <c r="W36" s="182">
        <f t="shared" si="9"/>
        <v>65.5</v>
      </c>
      <c r="X36" s="148">
        <f t="shared" si="9"/>
        <v>28491.833759999998</v>
      </c>
      <c r="Y36" s="148">
        <f t="shared" si="9"/>
        <v>5151.2606818001</v>
      </c>
      <c r="Z36" s="148">
        <f t="shared" si="9"/>
        <v>33643.0944418001</v>
      </c>
      <c r="AA36" s="176">
        <f>Z36/$Z$66</f>
        <v>0.034726489493646095</v>
      </c>
      <c r="AB36" s="148">
        <f t="shared" si="9"/>
        <v>67286.1888836002</v>
      </c>
    </row>
    <row r="37" spans="1:28" s="1" customFormat="1" ht="12.75">
      <c r="A37" s="4"/>
      <c r="E37" s="82"/>
      <c r="G37" s="50"/>
      <c r="H37" s="50"/>
      <c r="I37" s="50"/>
      <c r="J37" s="50"/>
      <c r="K37" s="50"/>
      <c r="L37" s="50"/>
      <c r="M37" s="50"/>
      <c r="N37" s="50"/>
      <c r="O37" s="50"/>
      <c r="U37" s="82"/>
      <c r="W37" s="186"/>
      <c r="X37" s="131"/>
      <c r="Y37" s="131"/>
      <c r="Z37" s="133"/>
      <c r="AA37" s="172"/>
      <c r="AB37" s="131"/>
    </row>
    <row r="38" spans="1:28" ht="12.75">
      <c r="A38" s="1" t="s">
        <v>73</v>
      </c>
      <c r="E38" s="44"/>
      <c r="G38" s="49"/>
      <c r="H38" s="49"/>
      <c r="I38" s="49"/>
      <c r="J38" s="49"/>
      <c r="K38" s="49"/>
      <c r="L38" s="49"/>
      <c r="M38" s="49"/>
      <c r="N38" s="49"/>
      <c r="O38" s="49"/>
      <c r="U38" s="44"/>
      <c r="X38" s="131"/>
      <c r="Y38" s="131"/>
      <c r="Z38" s="133"/>
      <c r="AA38" s="172"/>
      <c r="AB38" s="131"/>
    </row>
    <row r="39" spans="1:28" ht="12.75">
      <c r="A39" t="s">
        <v>66</v>
      </c>
      <c r="B39">
        <v>1</v>
      </c>
      <c r="C39" s="6"/>
      <c r="D39">
        <v>2</v>
      </c>
      <c r="E39" s="44">
        <v>0</v>
      </c>
      <c r="G39" s="49">
        <v>10</v>
      </c>
      <c r="H39" s="49">
        <v>10</v>
      </c>
      <c r="I39" s="49">
        <v>10</v>
      </c>
      <c r="J39" s="49"/>
      <c r="K39" s="49">
        <v>10</v>
      </c>
      <c r="L39" s="49"/>
      <c r="M39" s="49">
        <v>5</v>
      </c>
      <c r="N39" s="49">
        <v>5</v>
      </c>
      <c r="O39" s="49">
        <v>3</v>
      </c>
      <c r="Q39">
        <v>5</v>
      </c>
      <c r="R39">
        <v>2</v>
      </c>
      <c r="T39">
        <v>5</v>
      </c>
      <c r="U39" s="286">
        <v>0.25</v>
      </c>
      <c r="V39" s="6">
        <f>SUM(P39:T39)</f>
        <v>12</v>
      </c>
      <c r="W39" s="186">
        <f>SUM(B39:O39)</f>
        <v>56</v>
      </c>
      <c r="X39" s="131">
        <f>SUMPRODUCT(B39:O39,$B$6:$O$6)</f>
        <v>24967.1216</v>
      </c>
      <c r="Y39" s="131">
        <f>+(W39/$W$66)*($W$71+$W$72+$X$77)</f>
        <v>4404.131269935964</v>
      </c>
      <c r="Z39" s="29">
        <f>X39+Y39</f>
        <v>29371.25286993596</v>
      </c>
      <c r="AA39" s="173"/>
      <c r="AB39" s="132">
        <f>Z39*2</f>
        <v>58742.50573987192</v>
      </c>
    </row>
    <row r="40" spans="1:28" ht="12.75">
      <c r="A40" t="s">
        <v>67</v>
      </c>
      <c r="B40">
        <v>1</v>
      </c>
      <c r="C40" s="6"/>
      <c r="D40">
        <v>2</v>
      </c>
      <c r="E40" s="44">
        <v>0</v>
      </c>
      <c r="G40" s="49">
        <v>15</v>
      </c>
      <c r="H40" s="49">
        <v>15</v>
      </c>
      <c r="I40" s="49">
        <v>15</v>
      </c>
      <c r="J40" s="49"/>
      <c r="K40" s="49">
        <v>15</v>
      </c>
      <c r="L40" s="49">
        <v>12</v>
      </c>
      <c r="M40" s="49">
        <v>15</v>
      </c>
      <c r="N40" s="49">
        <v>10</v>
      </c>
      <c r="O40" s="49"/>
      <c r="P40">
        <v>5</v>
      </c>
      <c r="Q40" s="49">
        <v>5</v>
      </c>
      <c r="R40">
        <v>2</v>
      </c>
      <c r="T40">
        <v>5</v>
      </c>
      <c r="U40" s="286">
        <v>0.25</v>
      </c>
      <c r="V40" s="6">
        <f>SUM(P40:T40)</f>
        <v>17</v>
      </c>
      <c r="W40" s="186">
        <f>SUM(B40:O40)</f>
        <v>100</v>
      </c>
      <c r="X40" s="131">
        <f>SUMPRODUCT(B40:O40,$B$6:$O$6)</f>
        <v>42025.6824</v>
      </c>
      <c r="Y40" s="131">
        <f>+(W40/$W$66)*($W$71+$W$72+$X$77)</f>
        <v>7864.520124885649</v>
      </c>
      <c r="Z40" s="29">
        <f>X40+Y40</f>
        <v>49890.202524885644</v>
      </c>
      <c r="AA40" s="173"/>
      <c r="AB40" s="132">
        <f>Z40*2</f>
        <v>99780.40504977129</v>
      </c>
    </row>
    <row r="41" spans="1:28" ht="12.75">
      <c r="A41" t="s">
        <v>68</v>
      </c>
      <c r="B41">
        <v>1</v>
      </c>
      <c r="C41" s="6"/>
      <c r="D41">
        <v>2</v>
      </c>
      <c r="E41" s="44">
        <v>0</v>
      </c>
      <c r="G41" s="49">
        <v>15</v>
      </c>
      <c r="H41" s="49">
        <v>15</v>
      </c>
      <c r="I41" s="49">
        <v>15</v>
      </c>
      <c r="J41" s="49"/>
      <c r="K41" s="49">
        <v>15</v>
      </c>
      <c r="L41" s="49"/>
      <c r="M41" s="49">
        <v>15</v>
      </c>
      <c r="N41" s="49">
        <v>10</v>
      </c>
      <c r="O41" s="49"/>
      <c r="P41">
        <v>5</v>
      </c>
      <c r="Q41" s="49">
        <v>5</v>
      </c>
      <c r="R41">
        <v>2</v>
      </c>
      <c r="T41">
        <v>5</v>
      </c>
      <c r="U41" s="286">
        <v>0.25</v>
      </c>
      <c r="V41" s="6">
        <f>SUM(P41:T41)</f>
        <v>17</v>
      </c>
      <c r="W41" s="186">
        <f>SUM(B41:O41)</f>
        <v>88</v>
      </c>
      <c r="X41" s="131">
        <f>SUMPRODUCT(B41:O41,$B$6:$O$6)</f>
        <v>37225.6824</v>
      </c>
      <c r="Y41" s="131">
        <f>+(W41/$W$66)*($W$71+$W$72+$X$77)</f>
        <v>6920.777709899371</v>
      </c>
      <c r="Z41" s="27">
        <f>X41+Y41</f>
        <v>44146.460109899366</v>
      </c>
      <c r="AA41" s="170"/>
      <c r="AB41" s="132">
        <f>Z41*2</f>
        <v>88292.92021979873</v>
      </c>
    </row>
    <row r="42" spans="1:30" ht="12.75">
      <c r="A42" t="s">
        <v>69</v>
      </c>
      <c r="B42">
        <v>1</v>
      </c>
      <c r="C42" s="6"/>
      <c r="D42">
        <v>2</v>
      </c>
      <c r="E42" s="44">
        <v>0</v>
      </c>
      <c r="G42" s="49">
        <v>15</v>
      </c>
      <c r="H42" s="49">
        <v>15</v>
      </c>
      <c r="I42" s="49">
        <v>15</v>
      </c>
      <c r="J42" s="49"/>
      <c r="K42" s="49">
        <v>15</v>
      </c>
      <c r="L42" s="49">
        <v>5</v>
      </c>
      <c r="M42" s="49">
        <v>15</v>
      </c>
      <c r="N42" s="49">
        <v>10</v>
      </c>
      <c r="O42" s="49"/>
      <c r="P42" s="6"/>
      <c r="Q42" s="49">
        <v>20</v>
      </c>
      <c r="R42" s="6">
        <v>2</v>
      </c>
      <c r="S42" s="6"/>
      <c r="T42" s="6">
        <v>5</v>
      </c>
      <c r="U42" s="286">
        <v>0.25</v>
      </c>
      <c r="V42" s="6">
        <f>SUM(P42:T42)</f>
        <v>27</v>
      </c>
      <c r="W42" s="186">
        <f>SUM(B42:O42)</f>
        <v>93</v>
      </c>
      <c r="X42" s="131">
        <f>SUMPRODUCT(B42:O42,$B$6:$O$6)</f>
        <v>39225.6824</v>
      </c>
      <c r="Y42" s="131">
        <f>+(W42/$W$66)*($W$71+$W$72+$X$77)</f>
        <v>7314.003716143654</v>
      </c>
      <c r="Z42" s="27">
        <f>X42+Y42</f>
        <v>46539.68611614365</v>
      </c>
      <c r="AA42" s="170"/>
      <c r="AB42" s="132">
        <f>Z42*2</f>
        <v>93079.3722322873</v>
      </c>
      <c r="AD42" s="1"/>
    </row>
    <row r="43" spans="5:30" ht="12.75">
      <c r="E43" s="44"/>
      <c r="G43" s="49"/>
      <c r="H43" s="49"/>
      <c r="I43" s="49"/>
      <c r="J43" s="49"/>
      <c r="K43" s="49"/>
      <c r="L43" s="49"/>
      <c r="M43" s="49"/>
      <c r="N43" s="49"/>
      <c r="O43" s="49"/>
      <c r="P43" s="6"/>
      <c r="Q43" s="49"/>
      <c r="R43" s="6"/>
      <c r="S43" s="6"/>
      <c r="T43" s="6"/>
      <c r="U43" s="68"/>
      <c r="V43" s="6"/>
      <c r="X43" s="131"/>
      <c r="Y43" s="131"/>
      <c r="Z43" s="145"/>
      <c r="AA43" s="170"/>
      <c r="AB43" s="132"/>
      <c r="AD43" s="1"/>
    </row>
    <row r="44" spans="1:28" s="1" customFormat="1" ht="12.75">
      <c r="A44" s="4" t="s">
        <v>147</v>
      </c>
      <c r="B44" s="1">
        <f>SUM(B39:B43)</f>
        <v>4</v>
      </c>
      <c r="C44" s="1">
        <f aca="true" t="shared" si="10" ref="C44:W44">SUM(C39:C43)</f>
        <v>0</v>
      </c>
      <c r="D44" s="1">
        <f t="shared" si="10"/>
        <v>8</v>
      </c>
      <c r="E44" s="82">
        <f t="shared" si="10"/>
        <v>0</v>
      </c>
      <c r="F44" s="1">
        <f t="shared" si="10"/>
        <v>0</v>
      </c>
      <c r="G44" s="1">
        <f t="shared" si="10"/>
        <v>55</v>
      </c>
      <c r="H44" s="1">
        <f t="shared" si="10"/>
        <v>55</v>
      </c>
      <c r="I44" s="1">
        <f t="shared" si="10"/>
        <v>55</v>
      </c>
      <c r="J44" s="1">
        <f t="shared" si="10"/>
        <v>0</v>
      </c>
      <c r="K44" s="1">
        <f t="shared" si="10"/>
        <v>55</v>
      </c>
      <c r="L44" s="1">
        <f t="shared" si="10"/>
        <v>17</v>
      </c>
      <c r="M44" s="1">
        <f t="shared" si="10"/>
        <v>50</v>
      </c>
      <c r="N44" s="1">
        <f t="shared" si="10"/>
        <v>35</v>
      </c>
      <c r="O44" s="1">
        <f t="shared" si="10"/>
        <v>3</v>
      </c>
      <c r="P44" s="1">
        <f t="shared" si="10"/>
        <v>10</v>
      </c>
      <c r="Q44" s="1">
        <f t="shared" si="10"/>
        <v>35</v>
      </c>
      <c r="R44" s="1">
        <f t="shared" si="10"/>
        <v>8</v>
      </c>
      <c r="S44" s="1">
        <f t="shared" si="10"/>
        <v>0</v>
      </c>
      <c r="T44" s="1">
        <f t="shared" si="10"/>
        <v>20</v>
      </c>
      <c r="U44" s="82">
        <f t="shared" si="10"/>
        <v>1</v>
      </c>
      <c r="V44" s="1">
        <f t="shared" si="10"/>
        <v>73</v>
      </c>
      <c r="W44" s="182">
        <f t="shared" si="10"/>
        <v>337</v>
      </c>
      <c r="X44" s="5">
        <f>SUM(X39:X43)</f>
        <v>143444.16879999998</v>
      </c>
      <c r="Y44" s="5">
        <f>SUM(Y39:Y43)</f>
        <v>26503.43282086464</v>
      </c>
      <c r="Z44" s="5">
        <f>SUM(Z39:Z43)</f>
        <v>169947.60162086462</v>
      </c>
      <c r="AA44" s="176">
        <f>Z44/$Z$66</f>
        <v>0.17542035594754085</v>
      </c>
      <c r="AB44" s="5">
        <f>SUM(AB39:AB43)</f>
        <v>339895.20324172924</v>
      </c>
    </row>
    <row r="45" spans="1:28" s="1" customFormat="1" ht="12.75">
      <c r="A45" s="4"/>
      <c r="E45" s="82"/>
      <c r="G45" s="50"/>
      <c r="H45" s="50"/>
      <c r="I45" s="50"/>
      <c r="J45" s="50"/>
      <c r="K45" s="50"/>
      <c r="L45" s="50"/>
      <c r="M45" s="50"/>
      <c r="N45" s="50"/>
      <c r="O45" s="50"/>
      <c r="U45" s="82"/>
      <c r="W45" s="186"/>
      <c r="X45" s="131"/>
      <c r="Y45" s="131"/>
      <c r="Z45" s="133"/>
      <c r="AA45" s="172"/>
      <c r="AB45" s="131"/>
    </row>
    <row r="46" spans="1:28" s="1" customFormat="1" ht="12.75">
      <c r="A46" s="1" t="s">
        <v>75</v>
      </c>
      <c r="B46"/>
      <c r="C46"/>
      <c r="D46"/>
      <c r="E46" s="44"/>
      <c r="F46"/>
      <c r="G46" s="49"/>
      <c r="H46" s="49"/>
      <c r="I46" s="49"/>
      <c r="J46" s="49"/>
      <c r="K46" s="49"/>
      <c r="L46" s="50"/>
      <c r="M46" s="50"/>
      <c r="N46" s="50"/>
      <c r="O46" s="50"/>
      <c r="U46" s="82"/>
      <c r="W46" s="186"/>
      <c r="X46" s="131"/>
      <c r="Y46" s="131"/>
      <c r="Z46" s="27"/>
      <c r="AA46" s="170"/>
      <c r="AB46" s="131"/>
    </row>
    <row r="47" spans="1:31" s="1" customFormat="1" ht="12.75">
      <c r="A47" t="s">
        <v>191</v>
      </c>
      <c r="B47" s="6">
        <v>5</v>
      </c>
      <c r="C47" s="301"/>
      <c r="D47" s="6">
        <v>13</v>
      </c>
      <c r="E47" s="68">
        <v>13.5</v>
      </c>
      <c r="F47" s="6">
        <v>0</v>
      </c>
      <c r="G47" s="49">
        <v>20</v>
      </c>
      <c r="H47" s="49">
        <v>20</v>
      </c>
      <c r="I47" s="49">
        <v>20</v>
      </c>
      <c r="J47" s="49"/>
      <c r="K47" s="49">
        <v>20</v>
      </c>
      <c r="L47" s="128">
        <v>5</v>
      </c>
      <c r="M47" s="49">
        <v>20</v>
      </c>
      <c r="N47" s="128">
        <v>5</v>
      </c>
      <c r="O47" s="49">
        <v>5</v>
      </c>
      <c r="P47"/>
      <c r="Q47" s="49">
        <v>35</v>
      </c>
      <c r="R47">
        <v>5</v>
      </c>
      <c r="S47">
        <v>15</v>
      </c>
      <c r="T47">
        <v>15</v>
      </c>
      <c r="U47" s="286">
        <v>5</v>
      </c>
      <c r="V47" s="6">
        <f>SUM(P47:T47)</f>
        <v>70</v>
      </c>
      <c r="W47" s="186">
        <f>SUM(B47:O47)</f>
        <v>146.5</v>
      </c>
      <c r="X47" s="131">
        <f>SUMPRODUCT(B47:O47,$B$6:$O$6)</f>
        <v>70391.7432</v>
      </c>
      <c r="Y47" s="131">
        <f>+(W47/$W$66)*($W$71+$W$72+$X$77)</f>
        <v>11521.521982957476</v>
      </c>
      <c r="Z47" s="29">
        <f>X47+Y47</f>
        <v>81913.26518295748</v>
      </c>
      <c r="AA47" s="173"/>
      <c r="AB47" s="132">
        <f>Z47*2</f>
        <v>163826.53036591495</v>
      </c>
      <c r="AC47"/>
      <c r="AD47"/>
      <c r="AE47"/>
    </row>
    <row r="48" spans="1:31" s="1" customFormat="1" ht="12.75">
      <c r="A48" s="6" t="s">
        <v>188</v>
      </c>
      <c r="B48" s="6">
        <v>3</v>
      </c>
      <c r="C48" s="6"/>
      <c r="D48" s="6">
        <v>5</v>
      </c>
      <c r="E48" s="68">
        <v>15.5</v>
      </c>
      <c r="F48" s="6">
        <v>1</v>
      </c>
      <c r="G48" s="49">
        <v>20</v>
      </c>
      <c r="H48" s="49">
        <v>20</v>
      </c>
      <c r="I48" s="49">
        <v>15</v>
      </c>
      <c r="J48" s="49"/>
      <c r="K48" s="49">
        <v>20</v>
      </c>
      <c r="L48" s="128">
        <v>4.926</v>
      </c>
      <c r="M48" s="49">
        <v>20</v>
      </c>
      <c r="N48" s="49">
        <v>5</v>
      </c>
      <c r="O48" s="49">
        <v>6</v>
      </c>
      <c r="P48"/>
      <c r="Q48" s="49">
        <v>35</v>
      </c>
      <c r="R48">
        <v>5</v>
      </c>
      <c r="S48">
        <v>15</v>
      </c>
      <c r="T48">
        <v>15</v>
      </c>
      <c r="U48" s="286">
        <v>5.5</v>
      </c>
      <c r="V48" s="6">
        <f>SUM(P48:T48)</f>
        <v>70</v>
      </c>
      <c r="W48" s="186">
        <f>SUM(B48:O48)</f>
        <v>135.426</v>
      </c>
      <c r="X48" s="131">
        <f>SUMPRODUCT(B48:O48,$B$6:$O$6)</f>
        <v>63402.1432</v>
      </c>
      <c r="Y48" s="131">
        <f>+(W48/$W$66)*($W$71+$W$72+$X$77)</f>
        <v>10650.605024327639</v>
      </c>
      <c r="Z48" s="29">
        <f>X48+Y48</f>
        <v>74052.74822432763</v>
      </c>
      <c r="AA48" s="173"/>
      <c r="AB48" s="132">
        <f>Z48*2</f>
        <v>148105.49644865526</v>
      </c>
      <c r="AC48"/>
      <c r="AD48"/>
      <c r="AE48"/>
    </row>
    <row r="49" spans="1:29" s="1" customFormat="1" ht="12.75">
      <c r="A49" t="s">
        <v>189</v>
      </c>
      <c r="B49" s="6">
        <v>3</v>
      </c>
      <c r="C49" s="6"/>
      <c r="D49" s="6">
        <v>5</v>
      </c>
      <c r="E49" s="68">
        <v>15</v>
      </c>
      <c r="F49" s="6">
        <v>1</v>
      </c>
      <c r="G49" s="49">
        <v>20</v>
      </c>
      <c r="H49" s="49">
        <v>20</v>
      </c>
      <c r="I49" s="49">
        <v>15</v>
      </c>
      <c r="J49" s="49"/>
      <c r="K49" s="49">
        <v>20</v>
      </c>
      <c r="L49" s="49"/>
      <c r="M49" s="49">
        <v>20</v>
      </c>
      <c r="N49" s="49"/>
      <c r="O49" s="49">
        <v>6</v>
      </c>
      <c r="P49" s="6"/>
      <c r="Q49" s="49">
        <v>35</v>
      </c>
      <c r="R49" s="6">
        <v>5</v>
      </c>
      <c r="S49">
        <v>15</v>
      </c>
      <c r="T49">
        <v>15</v>
      </c>
      <c r="U49" s="286">
        <v>7.5</v>
      </c>
      <c r="V49" s="6">
        <f>SUM(P49:T49)</f>
        <v>70</v>
      </c>
      <c r="W49" s="186">
        <f>SUM(B49:O49)</f>
        <v>125</v>
      </c>
      <c r="X49" s="131">
        <f>SUMPRODUCT(B49:O49,$B$6:$O$6)</f>
        <v>59124.2432</v>
      </c>
      <c r="Y49" s="131">
        <f>+(W49/$W$66)*($W$71+$W$72+$X$77)</f>
        <v>9830.650156107064</v>
      </c>
      <c r="Z49" s="29">
        <f>X49+Y49</f>
        <v>68954.89335610706</v>
      </c>
      <c r="AA49" s="173"/>
      <c r="AB49" s="132">
        <f>Z49*2</f>
        <v>137909.78671221412</v>
      </c>
      <c r="AC49"/>
    </row>
    <row r="50" spans="1:29" s="1" customFormat="1" ht="12.75">
      <c r="A50" t="s">
        <v>190</v>
      </c>
      <c r="B50" s="6">
        <v>3</v>
      </c>
      <c r="C50" s="6"/>
      <c r="D50" s="6">
        <v>5</v>
      </c>
      <c r="E50" s="68">
        <v>1.5</v>
      </c>
      <c r="F50" s="6">
        <v>0</v>
      </c>
      <c r="G50" s="49">
        <v>20</v>
      </c>
      <c r="H50" s="49">
        <v>20</v>
      </c>
      <c r="I50" s="49">
        <v>15</v>
      </c>
      <c r="J50" s="49"/>
      <c r="K50" s="49">
        <v>20</v>
      </c>
      <c r="L50" s="49"/>
      <c r="M50" s="49">
        <v>20</v>
      </c>
      <c r="N50" s="49"/>
      <c r="O50" s="49">
        <v>6</v>
      </c>
      <c r="P50" s="6"/>
      <c r="Q50" s="49">
        <v>35</v>
      </c>
      <c r="R50" s="6">
        <v>5</v>
      </c>
      <c r="S50">
        <v>15</v>
      </c>
      <c r="T50">
        <v>15</v>
      </c>
      <c r="U50" s="286">
        <v>1.5</v>
      </c>
      <c r="V50" s="6">
        <f>SUM(P50:T50)</f>
        <v>70</v>
      </c>
      <c r="W50" s="186">
        <f>SUM(B50:O50)</f>
        <v>110.5</v>
      </c>
      <c r="X50" s="131">
        <f>SUMPRODUCT(B50:O50,$B$6:$O$6)</f>
        <v>50421.7432</v>
      </c>
      <c r="Y50" s="131">
        <f>+(W50/$W$66)*($W$71+$W$72+$X$77)</f>
        <v>8690.294737998644</v>
      </c>
      <c r="Z50" s="29">
        <f>X50+Y50</f>
        <v>59112.03793799864</v>
      </c>
      <c r="AA50" s="173"/>
      <c r="AB50" s="132">
        <f>Z50*2</f>
        <v>118224.07587599728</v>
      </c>
      <c r="AC50"/>
    </row>
    <row r="51" spans="1:29" s="1" customFormat="1" ht="12.75">
      <c r="A51" t="s">
        <v>4</v>
      </c>
      <c r="B51" s="6">
        <v>4</v>
      </c>
      <c r="C51" s="6"/>
      <c r="D51" s="6">
        <v>4</v>
      </c>
      <c r="E51" s="68">
        <v>1.5</v>
      </c>
      <c r="F51" s="6">
        <v>0</v>
      </c>
      <c r="G51" s="49">
        <v>10</v>
      </c>
      <c r="H51" s="49">
        <v>10</v>
      </c>
      <c r="I51" s="49">
        <v>10</v>
      </c>
      <c r="J51" s="49"/>
      <c r="K51" s="49">
        <v>20</v>
      </c>
      <c r="L51" s="49"/>
      <c r="M51" s="49">
        <v>10</v>
      </c>
      <c r="N51" s="49"/>
      <c r="O51" s="49"/>
      <c r="P51" s="6"/>
      <c r="Q51" s="49">
        <v>35</v>
      </c>
      <c r="R51" s="6">
        <v>5</v>
      </c>
      <c r="S51"/>
      <c r="T51">
        <v>15</v>
      </c>
      <c r="U51" s="286">
        <v>1.5</v>
      </c>
      <c r="V51" s="6">
        <f>SUM(P51:T51)</f>
        <v>55</v>
      </c>
      <c r="W51" s="186">
        <f>SUM(B51:O51)</f>
        <v>69.5</v>
      </c>
      <c r="X51" s="131">
        <f>SUMPRODUCT(B51:O51,$B$6:$O$6)</f>
        <v>32679.6216</v>
      </c>
      <c r="Y51" s="131">
        <f>+(W51/$W$66)*($W$71+$W$72+$X$77)</f>
        <v>5465.841486795527</v>
      </c>
      <c r="Z51" s="29">
        <f>X51+Y51</f>
        <v>38145.46308679553</v>
      </c>
      <c r="AA51" s="173"/>
      <c r="AB51" s="132">
        <f>Z51*2</f>
        <v>76290.92617359105</v>
      </c>
      <c r="AC51"/>
    </row>
    <row r="52" spans="1:29" s="1" customFormat="1" ht="12.75">
      <c r="A52"/>
      <c r="B52"/>
      <c r="C52"/>
      <c r="D52"/>
      <c r="E52" s="44"/>
      <c r="F52"/>
      <c r="G52" s="49"/>
      <c r="H52" s="49"/>
      <c r="I52" s="49"/>
      <c r="J52" s="49"/>
      <c r="K52" s="49"/>
      <c r="L52" s="49"/>
      <c r="M52" s="49"/>
      <c r="N52" s="49"/>
      <c r="O52" s="49"/>
      <c r="P52" s="6"/>
      <c r="Q52" s="49"/>
      <c r="R52" s="6"/>
      <c r="S52" s="6"/>
      <c r="T52" s="6"/>
      <c r="U52" s="68"/>
      <c r="V52" s="6"/>
      <c r="W52" s="186"/>
      <c r="X52" s="131"/>
      <c r="Y52" s="131"/>
      <c r="Z52" s="149"/>
      <c r="AA52" s="173"/>
      <c r="AB52" s="132"/>
      <c r="AC52"/>
    </row>
    <row r="53" spans="1:28" s="1" customFormat="1" ht="12.75">
      <c r="A53" s="4" t="s">
        <v>90</v>
      </c>
      <c r="B53" s="1">
        <f>SUM(B47:B52)</f>
        <v>18</v>
      </c>
      <c r="C53" s="129">
        <f aca="true" t="shared" si="11" ref="C53:AB53">SUM(C47:C52)</f>
        <v>0</v>
      </c>
      <c r="D53" s="1">
        <f t="shared" si="11"/>
        <v>32</v>
      </c>
      <c r="E53" s="82">
        <f t="shared" si="11"/>
        <v>47</v>
      </c>
      <c r="F53" s="1">
        <f t="shared" si="11"/>
        <v>2</v>
      </c>
      <c r="G53" s="1">
        <f t="shared" si="11"/>
        <v>90</v>
      </c>
      <c r="H53" s="1">
        <f t="shared" si="11"/>
        <v>90</v>
      </c>
      <c r="I53" s="1">
        <f t="shared" si="11"/>
        <v>75</v>
      </c>
      <c r="J53" s="1">
        <f t="shared" si="11"/>
        <v>0</v>
      </c>
      <c r="K53" s="1">
        <f t="shared" si="11"/>
        <v>100</v>
      </c>
      <c r="L53" s="1">
        <f t="shared" si="11"/>
        <v>9.926</v>
      </c>
      <c r="M53" s="1">
        <f t="shared" si="11"/>
        <v>90</v>
      </c>
      <c r="N53" s="1">
        <f t="shared" si="11"/>
        <v>10</v>
      </c>
      <c r="O53" s="1">
        <f t="shared" si="11"/>
        <v>23</v>
      </c>
      <c r="P53" s="1">
        <f t="shared" si="11"/>
        <v>0</v>
      </c>
      <c r="Q53" s="1">
        <f t="shared" si="11"/>
        <v>175</v>
      </c>
      <c r="R53" s="1">
        <f t="shared" si="11"/>
        <v>25</v>
      </c>
      <c r="S53" s="1">
        <f t="shared" si="11"/>
        <v>60</v>
      </c>
      <c r="T53" s="1">
        <f t="shared" si="11"/>
        <v>75</v>
      </c>
      <c r="U53" s="82">
        <f t="shared" si="11"/>
        <v>21</v>
      </c>
      <c r="V53" s="1">
        <f t="shared" si="11"/>
        <v>335</v>
      </c>
      <c r="W53" s="191">
        <f t="shared" si="11"/>
        <v>586.9259999999999</v>
      </c>
      <c r="X53" s="5">
        <f t="shared" si="11"/>
        <v>276019.49439999997</v>
      </c>
      <c r="Y53" s="5">
        <f t="shared" si="11"/>
        <v>46158.91338818635</v>
      </c>
      <c r="Z53" s="5">
        <f t="shared" si="11"/>
        <v>322178.40778818633</v>
      </c>
      <c r="AA53" s="176">
        <f>Z53/$Z$66</f>
        <v>0.33255338959650854</v>
      </c>
      <c r="AB53" s="5">
        <f t="shared" si="11"/>
        <v>644356.8155763727</v>
      </c>
    </row>
    <row r="54" spans="1:28" s="1" customFormat="1" ht="12.75">
      <c r="A54" s="4"/>
      <c r="E54" s="82"/>
      <c r="G54" s="50"/>
      <c r="H54" s="50"/>
      <c r="I54" s="50"/>
      <c r="J54" s="50"/>
      <c r="K54" s="50"/>
      <c r="L54" s="50"/>
      <c r="M54" s="50"/>
      <c r="N54" s="50"/>
      <c r="O54" s="50"/>
      <c r="U54" s="82"/>
      <c r="W54" s="182"/>
      <c r="X54" s="5"/>
      <c r="Y54" s="5"/>
      <c r="Z54" s="28"/>
      <c r="AA54" s="171"/>
      <c r="AB54" s="22"/>
    </row>
    <row r="55" spans="1:28" s="1" customFormat="1" ht="12.75">
      <c r="A55" s="4" t="s">
        <v>74</v>
      </c>
      <c r="E55" s="82"/>
      <c r="G55" s="50"/>
      <c r="H55" s="50"/>
      <c r="I55" s="50"/>
      <c r="J55" s="50"/>
      <c r="K55" s="50"/>
      <c r="L55" s="50"/>
      <c r="M55" s="50"/>
      <c r="N55" s="50"/>
      <c r="O55" s="50"/>
      <c r="U55" s="82"/>
      <c r="W55" s="182"/>
      <c r="X55" s="131"/>
      <c r="Y55" s="131"/>
      <c r="Z55" s="27"/>
      <c r="AA55" s="170"/>
      <c r="AB55" s="22"/>
    </row>
    <row r="56" spans="1:28" s="6" customFormat="1" ht="12.75">
      <c r="A56" s="69" t="s">
        <v>5</v>
      </c>
      <c r="B56" s="6">
        <v>5</v>
      </c>
      <c r="D56" s="6">
        <v>5</v>
      </c>
      <c r="E56" s="68">
        <v>3.5</v>
      </c>
      <c r="G56" s="49">
        <v>10</v>
      </c>
      <c r="H56" s="49">
        <v>10</v>
      </c>
      <c r="I56" s="49">
        <v>10</v>
      </c>
      <c r="J56" s="49"/>
      <c r="K56" s="49">
        <v>10</v>
      </c>
      <c r="L56" s="49">
        <v>1</v>
      </c>
      <c r="M56" s="49">
        <v>10</v>
      </c>
      <c r="N56" s="49">
        <v>3</v>
      </c>
      <c r="O56" s="128">
        <v>2.117</v>
      </c>
      <c r="Q56" s="6">
        <v>20</v>
      </c>
      <c r="R56" s="6">
        <v>10</v>
      </c>
      <c r="U56" s="286">
        <v>1.5</v>
      </c>
      <c r="V56" s="6">
        <f>SUM(P56:T56)</f>
        <v>30</v>
      </c>
      <c r="W56" s="186">
        <f>SUM(B56:O56)</f>
        <v>69.617</v>
      </c>
      <c r="X56" s="92">
        <f>SUMPRODUCT(B56:O56,$B$6:$O$6)</f>
        <v>34364.181599999996</v>
      </c>
      <c r="Y56" s="92">
        <f>+(W56/$W$66)*($W$71+$W$72+$X$77)</f>
        <v>5475.042975341644</v>
      </c>
      <c r="Z56" s="27">
        <f>X56+Y56</f>
        <v>39839.22457534164</v>
      </c>
      <c r="AA56" s="170"/>
      <c r="AB56" s="151">
        <f>Z56*2</f>
        <v>79678.44915068329</v>
      </c>
    </row>
    <row r="57" spans="1:28" s="1" customFormat="1" ht="12.75">
      <c r="A57" s="4"/>
      <c r="E57" s="82"/>
      <c r="G57" s="50"/>
      <c r="H57" s="50"/>
      <c r="I57" s="50"/>
      <c r="J57" s="50"/>
      <c r="K57" s="50"/>
      <c r="L57" s="50"/>
      <c r="M57" s="50"/>
      <c r="N57" s="50"/>
      <c r="O57" s="50"/>
      <c r="U57" s="82"/>
      <c r="W57" s="182"/>
      <c r="X57" s="131"/>
      <c r="Y57" s="131"/>
      <c r="Z57" s="27"/>
      <c r="AA57" s="170"/>
      <c r="AB57" s="22"/>
    </row>
    <row r="58" spans="1:28" s="1" customFormat="1" ht="12.75">
      <c r="A58" s="4" t="s">
        <v>6</v>
      </c>
      <c r="B58" s="1">
        <f>SUM(B56:B57)</f>
        <v>5</v>
      </c>
      <c r="C58" s="1">
        <f aca="true" t="shared" si="12" ref="C58:AB58">SUM(C56:C57)</f>
        <v>0</v>
      </c>
      <c r="D58" s="1">
        <f t="shared" si="12"/>
        <v>5</v>
      </c>
      <c r="E58" s="82">
        <f t="shared" si="12"/>
        <v>3.5</v>
      </c>
      <c r="F58" s="1">
        <f t="shared" si="12"/>
        <v>0</v>
      </c>
      <c r="G58" s="1">
        <f t="shared" si="12"/>
        <v>10</v>
      </c>
      <c r="H58" s="1">
        <f t="shared" si="12"/>
        <v>10</v>
      </c>
      <c r="I58" s="1">
        <f t="shared" si="12"/>
        <v>10</v>
      </c>
      <c r="J58" s="1">
        <f t="shared" si="12"/>
        <v>0</v>
      </c>
      <c r="K58" s="1">
        <f t="shared" si="12"/>
        <v>10</v>
      </c>
      <c r="L58" s="1">
        <f t="shared" si="12"/>
        <v>1</v>
      </c>
      <c r="M58" s="1">
        <f t="shared" si="12"/>
        <v>10</v>
      </c>
      <c r="N58" s="1">
        <f t="shared" si="12"/>
        <v>3</v>
      </c>
      <c r="O58" s="1">
        <f t="shared" si="12"/>
        <v>2.117</v>
      </c>
      <c r="P58" s="1">
        <f t="shared" si="12"/>
        <v>0</v>
      </c>
      <c r="Q58" s="1">
        <f t="shared" si="12"/>
        <v>20</v>
      </c>
      <c r="R58" s="1">
        <f t="shared" si="12"/>
        <v>10</v>
      </c>
      <c r="S58" s="1">
        <f t="shared" si="12"/>
        <v>0</v>
      </c>
      <c r="T58" s="1">
        <f t="shared" si="12"/>
        <v>0</v>
      </c>
      <c r="U58" s="82">
        <f t="shared" si="12"/>
        <v>1.5</v>
      </c>
      <c r="V58" s="1">
        <f t="shared" si="12"/>
        <v>30</v>
      </c>
      <c r="W58" s="182">
        <f t="shared" si="12"/>
        <v>69.617</v>
      </c>
      <c r="X58" s="5">
        <f t="shared" si="12"/>
        <v>34364.181599999996</v>
      </c>
      <c r="Y58" s="5">
        <f t="shared" si="12"/>
        <v>5475.042975341644</v>
      </c>
      <c r="Z58" s="5">
        <f t="shared" si="12"/>
        <v>39839.22457534164</v>
      </c>
      <c r="AA58" s="176">
        <f>Z58/$Z$66</f>
        <v>0.04112215111614997</v>
      </c>
      <c r="AB58" s="5">
        <f t="shared" si="12"/>
        <v>79678.44915068329</v>
      </c>
    </row>
    <row r="59" spans="1:28" s="1" customFormat="1" ht="12.75">
      <c r="A59" s="4"/>
      <c r="E59" s="82"/>
      <c r="G59" s="50"/>
      <c r="H59" s="50"/>
      <c r="I59" s="50"/>
      <c r="J59" s="50"/>
      <c r="K59" s="50"/>
      <c r="L59" s="50"/>
      <c r="M59" s="50"/>
      <c r="N59" s="50"/>
      <c r="O59" s="50"/>
      <c r="U59" s="82"/>
      <c r="W59" s="182"/>
      <c r="X59" s="5"/>
      <c r="Y59" s="5"/>
      <c r="Z59" s="28"/>
      <c r="AA59" s="171"/>
      <c r="AB59" s="22"/>
    </row>
    <row r="60" spans="1:28" s="1" customFormat="1" ht="12.75">
      <c r="A60" s="4" t="s">
        <v>103</v>
      </c>
      <c r="E60" s="82"/>
      <c r="G60" s="50"/>
      <c r="H60" s="50"/>
      <c r="I60" s="50"/>
      <c r="J60" s="50"/>
      <c r="K60" s="50"/>
      <c r="L60" s="50"/>
      <c r="M60" s="50"/>
      <c r="N60" s="50"/>
      <c r="O60" s="50"/>
      <c r="U60" s="82"/>
      <c r="W60" s="182"/>
      <c r="X60" s="131"/>
      <c r="Y60" s="131"/>
      <c r="Z60" s="27"/>
      <c r="AA60" s="170"/>
      <c r="AB60" s="22"/>
    </row>
    <row r="61" spans="1:28" s="6" customFormat="1" ht="12.75">
      <c r="A61" s="346" t="s">
        <v>187</v>
      </c>
      <c r="B61" s="162"/>
      <c r="C61" s="163"/>
      <c r="D61" s="163"/>
      <c r="E61" s="163"/>
      <c r="F61" s="163"/>
      <c r="G61" s="163"/>
      <c r="H61" s="163"/>
      <c r="I61" s="163"/>
      <c r="J61" s="163"/>
      <c r="K61" s="163"/>
      <c r="L61" s="163"/>
      <c r="M61" s="163"/>
      <c r="N61" s="163"/>
      <c r="O61" s="163"/>
      <c r="P61" s="163"/>
      <c r="Q61" s="163"/>
      <c r="R61" s="163"/>
      <c r="S61" s="163"/>
      <c r="T61" s="163"/>
      <c r="U61" s="163"/>
      <c r="V61" s="294">
        <f>SUM(P61:T61)</f>
        <v>0</v>
      </c>
      <c r="W61" s="192"/>
      <c r="X61" s="163"/>
      <c r="Y61" s="163"/>
      <c r="Z61" s="163"/>
      <c r="AA61" s="174"/>
      <c r="AB61" s="152"/>
    </row>
    <row r="62" spans="1:28" s="6" customFormat="1" ht="12.75">
      <c r="A62" s="346"/>
      <c r="B62" s="161">
        <v>2.067</v>
      </c>
      <c r="D62" s="6">
        <v>4</v>
      </c>
      <c r="E62" s="68">
        <v>0</v>
      </c>
      <c r="G62" s="128">
        <v>13.405</v>
      </c>
      <c r="H62" s="128">
        <v>7.418</v>
      </c>
      <c r="I62" s="128">
        <v>7.095</v>
      </c>
      <c r="J62" s="49"/>
      <c r="K62" s="49">
        <v>12</v>
      </c>
      <c r="L62" s="49"/>
      <c r="M62" s="128">
        <v>7.873</v>
      </c>
      <c r="N62" s="128">
        <v>3.456</v>
      </c>
      <c r="O62" s="49"/>
      <c r="Q62" s="6">
        <v>20</v>
      </c>
      <c r="R62" s="6">
        <v>12</v>
      </c>
      <c r="S62" s="6">
        <v>4</v>
      </c>
      <c r="U62" s="68"/>
      <c r="V62" s="6">
        <f>SUM(P62:T62)</f>
        <v>36</v>
      </c>
      <c r="W62" s="193">
        <f>SUM(B62:O62)</f>
        <v>57.314</v>
      </c>
      <c r="X62" s="92">
        <f>SUMPRODUCT(B62:O62,$B$6:$O$6)</f>
        <v>26102.564802880002</v>
      </c>
      <c r="Y62" s="92">
        <f>+(W62/$W$66)*($W$71+$W$72+$X$77)</f>
        <v>4507.471064376961</v>
      </c>
      <c r="Z62" s="27">
        <f>X62+Y62</f>
        <v>30610.035867256964</v>
      </c>
      <c r="AA62" s="170"/>
      <c r="AB62" s="151">
        <f>Z62*2</f>
        <v>61220.07173451393</v>
      </c>
    </row>
    <row r="63" spans="1:28" s="1" customFormat="1" ht="12.75">
      <c r="A63" s="69"/>
      <c r="E63" s="82"/>
      <c r="G63" s="50"/>
      <c r="H63" s="50"/>
      <c r="I63" s="50"/>
      <c r="J63" s="50"/>
      <c r="K63" s="50"/>
      <c r="L63" s="50"/>
      <c r="M63" s="50"/>
      <c r="N63" s="50"/>
      <c r="O63" s="50"/>
      <c r="U63" s="82"/>
      <c r="W63" s="182"/>
      <c r="X63" s="5"/>
      <c r="Y63" s="5"/>
      <c r="Z63" s="28"/>
      <c r="AA63" s="171"/>
      <c r="AB63" s="22"/>
    </row>
    <row r="64" spans="1:28" s="1" customFormat="1" ht="12.75">
      <c r="A64" s="4" t="s">
        <v>10</v>
      </c>
      <c r="B64" s="1">
        <f>SUM(B62:B63)</f>
        <v>2.067</v>
      </c>
      <c r="C64" s="1">
        <f>SUM(C62:C63)</f>
        <v>0</v>
      </c>
      <c r="D64" s="1">
        <f>SUM(D62:D63)</f>
        <v>4</v>
      </c>
      <c r="E64" s="82">
        <f aca="true" t="shared" si="13" ref="E64:AB64">SUM(E61:E63)</f>
        <v>0</v>
      </c>
      <c r="F64" s="1">
        <f t="shared" si="13"/>
        <v>0</v>
      </c>
      <c r="G64" s="129">
        <f t="shared" si="13"/>
        <v>13.405</v>
      </c>
      <c r="H64" s="129">
        <f t="shared" si="13"/>
        <v>7.418</v>
      </c>
      <c r="I64" s="129">
        <f t="shared" si="13"/>
        <v>7.095</v>
      </c>
      <c r="J64" s="129">
        <f t="shared" si="13"/>
        <v>0</v>
      </c>
      <c r="K64" s="129">
        <f t="shared" si="13"/>
        <v>12</v>
      </c>
      <c r="L64" s="129">
        <f t="shared" si="13"/>
        <v>0</v>
      </c>
      <c r="M64" s="129">
        <f t="shared" si="13"/>
        <v>7.873</v>
      </c>
      <c r="N64" s="129">
        <f t="shared" si="13"/>
        <v>3.456</v>
      </c>
      <c r="O64" s="129">
        <f t="shared" si="13"/>
        <v>0</v>
      </c>
      <c r="P64" s="129">
        <f t="shared" si="13"/>
        <v>0</v>
      </c>
      <c r="Q64" s="1">
        <f t="shared" si="13"/>
        <v>20</v>
      </c>
      <c r="R64" s="1">
        <f t="shared" si="13"/>
        <v>12</v>
      </c>
      <c r="S64" s="1">
        <f t="shared" si="13"/>
        <v>4</v>
      </c>
      <c r="T64" s="1">
        <f t="shared" si="13"/>
        <v>0</v>
      </c>
      <c r="U64" s="286">
        <v>0</v>
      </c>
      <c r="V64" s="1">
        <f t="shared" si="13"/>
        <v>36</v>
      </c>
      <c r="W64" s="191">
        <f t="shared" si="13"/>
        <v>57.314</v>
      </c>
      <c r="X64" s="13">
        <f t="shared" si="13"/>
        <v>26102.564802880002</v>
      </c>
      <c r="Y64" s="13">
        <f t="shared" si="13"/>
        <v>4507.471064376961</v>
      </c>
      <c r="Z64" s="13">
        <f t="shared" si="13"/>
        <v>30610.035867256964</v>
      </c>
      <c r="AA64" s="176">
        <f>Z64/$Z$66</f>
        <v>0.031595758552570095</v>
      </c>
      <c r="AB64" s="13">
        <f t="shared" si="13"/>
        <v>61220.07173451393</v>
      </c>
    </row>
    <row r="65" spans="1:27" s="1" customFormat="1" ht="12.75">
      <c r="A65" s="4"/>
      <c r="E65" s="82"/>
      <c r="G65" s="50"/>
      <c r="H65" s="50"/>
      <c r="I65" s="50"/>
      <c r="J65" s="50"/>
      <c r="K65" s="50"/>
      <c r="L65" s="50"/>
      <c r="M65" s="50"/>
      <c r="N65" s="50"/>
      <c r="O65" s="50"/>
      <c r="U65" s="82"/>
      <c r="W65" s="186"/>
      <c r="X65" s="131"/>
      <c r="Y65" s="134"/>
      <c r="AA65" s="82"/>
    </row>
    <row r="66" spans="1:28" s="1" customFormat="1" ht="12.75">
      <c r="A66" s="4" t="s">
        <v>13</v>
      </c>
      <c r="B66" s="129">
        <f>B22+B29+B36+B44+B53+B58+B64</f>
        <v>55.067</v>
      </c>
      <c r="C66" s="129">
        <f aca="true" t="shared" si="14" ref="C66:AB66">C22+C29+C36+C44+C53+C58+C64</f>
        <v>0</v>
      </c>
      <c r="D66" s="1">
        <f t="shared" si="14"/>
        <v>94</v>
      </c>
      <c r="E66" s="82">
        <f t="shared" si="14"/>
        <v>58.5</v>
      </c>
      <c r="F66" s="1">
        <f t="shared" si="14"/>
        <v>3</v>
      </c>
      <c r="G66" s="158">
        <f t="shared" si="14"/>
        <v>246.405</v>
      </c>
      <c r="H66" s="158">
        <f t="shared" si="14"/>
        <v>240.418</v>
      </c>
      <c r="I66" s="158">
        <f t="shared" si="14"/>
        <v>225.095</v>
      </c>
      <c r="J66" s="1">
        <f t="shared" si="14"/>
        <v>0</v>
      </c>
      <c r="K66" s="1">
        <f t="shared" si="14"/>
        <v>253</v>
      </c>
      <c r="L66" s="158">
        <f t="shared" si="14"/>
        <v>63.926</v>
      </c>
      <c r="M66" s="158">
        <f t="shared" si="14"/>
        <v>230.873</v>
      </c>
      <c r="N66" s="1">
        <f t="shared" si="14"/>
        <v>114.456</v>
      </c>
      <c r="O66" s="1">
        <f t="shared" si="14"/>
        <v>44.117</v>
      </c>
      <c r="P66" s="1">
        <f t="shared" si="14"/>
        <v>204</v>
      </c>
      <c r="Q66" s="1">
        <f t="shared" si="14"/>
        <v>287</v>
      </c>
      <c r="R66" s="1">
        <f t="shared" si="14"/>
        <v>195</v>
      </c>
      <c r="S66" s="1">
        <f t="shared" si="14"/>
        <v>81</v>
      </c>
      <c r="T66" s="1">
        <f t="shared" si="14"/>
        <v>130</v>
      </c>
      <c r="U66" s="82">
        <f t="shared" si="14"/>
        <v>26</v>
      </c>
      <c r="V66" s="1">
        <f t="shared" si="14"/>
        <v>897</v>
      </c>
      <c r="W66" s="191">
        <f t="shared" si="14"/>
        <v>1628.857</v>
      </c>
      <c r="X66" s="13">
        <f t="shared" si="14"/>
        <v>749802.95808288</v>
      </c>
      <c r="Y66" s="13">
        <f t="shared" si="14"/>
        <v>218999.09857060865</v>
      </c>
      <c r="Z66" s="13">
        <f t="shared" si="14"/>
        <v>968802.0566534887</v>
      </c>
      <c r="AA66" s="157"/>
      <c r="AB66" s="13">
        <f t="shared" si="14"/>
        <v>1937604.1133069773</v>
      </c>
    </row>
    <row r="67" spans="1:28" s="182" customFormat="1" ht="12.75">
      <c r="A67" s="179" t="s">
        <v>113</v>
      </c>
      <c r="B67" s="180">
        <f aca="true" t="shared" si="15" ref="B67:O67">B66*B6</f>
        <v>60573.7</v>
      </c>
      <c r="C67" s="180">
        <f t="shared" si="15"/>
        <v>0</v>
      </c>
      <c r="D67" s="180">
        <f t="shared" si="15"/>
        <v>57810</v>
      </c>
      <c r="E67" s="187">
        <f t="shared" si="15"/>
        <v>35977.5</v>
      </c>
      <c r="F67" s="180">
        <f t="shared" si="15"/>
        <v>1200</v>
      </c>
      <c r="G67" s="180">
        <f t="shared" si="15"/>
        <v>110882.25</v>
      </c>
      <c r="H67" s="180">
        <f t="shared" si="15"/>
        <v>84077.09808288</v>
      </c>
      <c r="I67" s="180">
        <f t="shared" si="15"/>
        <v>96790.85</v>
      </c>
      <c r="J67" s="180">
        <f t="shared" si="15"/>
        <v>0</v>
      </c>
      <c r="K67" s="180">
        <f t="shared" si="15"/>
        <v>108790</v>
      </c>
      <c r="L67" s="180">
        <f t="shared" si="15"/>
        <v>25570.4</v>
      </c>
      <c r="M67" s="180">
        <f t="shared" si="15"/>
        <v>92349.2</v>
      </c>
      <c r="N67" s="180">
        <f t="shared" si="15"/>
        <v>45782.4</v>
      </c>
      <c r="O67" s="180">
        <f t="shared" si="15"/>
        <v>29999.559999999998</v>
      </c>
      <c r="P67" s="180">
        <f>P66*P6</f>
        <v>0</v>
      </c>
      <c r="Q67" s="180">
        <f>Q66*Q6</f>
        <v>0</v>
      </c>
      <c r="R67" s="180">
        <f>R66*R6</f>
        <v>0</v>
      </c>
      <c r="S67" s="180">
        <f>S66*S6</f>
        <v>0</v>
      </c>
      <c r="T67" s="180">
        <f>T66*T6</f>
        <v>0</v>
      </c>
      <c r="U67" s="187"/>
      <c r="V67" s="180"/>
      <c r="W67" s="180">
        <f>SUM(B67:T67)</f>
        <v>749802.9580828799</v>
      </c>
      <c r="X67" s="181"/>
      <c r="Y67" s="181"/>
      <c r="AA67" s="183"/>
      <c r="AB67" s="184"/>
    </row>
    <row r="68" spans="1:29" s="1" customFormat="1" ht="12.75">
      <c r="A68" s="4" t="s">
        <v>203</v>
      </c>
      <c r="B68" s="314">
        <f>B66/12</f>
        <v>4.588916666666667</v>
      </c>
      <c r="C68" s="5"/>
      <c r="D68" s="314">
        <f>D66/12</f>
        <v>7.833333333333333</v>
      </c>
      <c r="E68" s="314">
        <f>E66/12</f>
        <v>4.875</v>
      </c>
      <c r="F68" s="5"/>
      <c r="G68" s="51"/>
      <c r="H68" s="51"/>
      <c r="I68" s="51"/>
      <c r="J68" s="51"/>
      <c r="K68" s="51"/>
      <c r="L68" s="51"/>
      <c r="M68" s="51"/>
      <c r="N68" s="51"/>
      <c r="O68" s="51"/>
      <c r="P68" s="5"/>
      <c r="Q68" s="5"/>
      <c r="R68" s="5"/>
      <c r="S68" s="5"/>
      <c r="T68" s="5"/>
      <c r="U68" s="93"/>
      <c r="V68" s="5"/>
      <c r="W68" s="180"/>
      <c r="X68" s="13"/>
      <c r="Y68" s="13"/>
      <c r="Z68" s="118">
        <v>968802</v>
      </c>
      <c r="AA68" s="93"/>
      <c r="AB68" s="23" t="s">
        <v>107</v>
      </c>
      <c r="AC68" s="13"/>
    </row>
    <row r="69" spans="1:28" ht="12.75">
      <c r="A69" s="4" t="s">
        <v>132</v>
      </c>
      <c r="B69" s="19"/>
      <c r="E69" s="44"/>
      <c r="G69" s="49"/>
      <c r="H69" s="49"/>
      <c r="I69" s="49"/>
      <c r="J69" s="49"/>
      <c r="K69" s="49"/>
      <c r="L69" s="49"/>
      <c r="M69" s="49"/>
      <c r="N69" s="49"/>
      <c r="O69" s="49"/>
      <c r="P69" s="14"/>
      <c r="Q69" s="14"/>
      <c r="R69" s="14"/>
      <c r="S69" s="14"/>
      <c r="T69" s="14"/>
      <c r="U69" s="175"/>
      <c r="V69" s="14"/>
      <c r="X69" s="14"/>
      <c r="Y69" s="14"/>
      <c r="Z69" s="14"/>
      <c r="AA69" s="175"/>
      <c r="AB69" s="14"/>
    </row>
    <row r="70" spans="1:27" ht="12.75">
      <c r="A70" t="s">
        <v>152</v>
      </c>
      <c r="B70" s="19">
        <f>B89</f>
        <v>4662</v>
      </c>
      <c r="C70" s="19">
        <f>C89</f>
        <v>0</v>
      </c>
      <c r="D70" s="19">
        <f>D89</f>
        <v>4662</v>
      </c>
      <c r="E70" s="155">
        <f>E89</f>
        <v>4389</v>
      </c>
      <c r="G70" s="19">
        <f aca="true" t="shared" si="16" ref="G70:O70">G89</f>
        <v>7322.616</v>
      </c>
      <c r="H70" s="19">
        <f t="shared" si="16"/>
        <v>7322.616</v>
      </c>
      <c r="I70" s="19">
        <f t="shared" si="16"/>
        <v>7322.616</v>
      </c>
      <c r="J70" s="19">
        <f t="shared" si="16"/>
        <v>0</v>
      </c>
      <c r="K70" s="19">
        <f t="shared" si="16"/>
        <v>7322.616</v>
      </c>
      <c r="L70" s="19">
        <f t="shared" si="16"/>
        <v>7322.616</v>
      </c>
      <c r="M70" s="19">
        <f t="shared" si="16"/>
        <v>7322.616</v>
      </c>
      <c r="N70" s="19">
        <f t="shared" si="16"/>
        <v>7322.616</v>
      </c>
      <c r="O70" s="19">
        <f t="shared" si="16"/>
        <v>3188</v>
      </c>
      <c r="P70" s="18"/>
      <c r="Q70" s="18"/>
      <c r="R70" s="19">
        <v>10000</v>
      </c>
      <c r="S70" s="18"/>
      <c r="T70" s="18"/>
      <c r="U70" s="287"/>
      <c r="V70" s="18"/>
      <c r="W70" s="180">
        <f>SUM(B70:T70)</f>
        <v>78159.312</v>
      </c>
      <c r="Z70" s="19">
        <f>Z68-Z66</f>
        <v>-0.05665348866023123</v>
      </c>
      <c r="AA70" s="82" t="s">
        <v>155</v>
      </c>
    </row>
    <row r="71" spans="1:27" ht="12.75">
      <c r="A71" t="s">
        <v>151</v>
      </c>
      <c r="B71">
        <v>1000</v>
      </c>
      <c r="D71">
        <v>1500</v>
      </c>
      <c r="E71" s="44">
        <v>1000</v>
      </c>
      <c r="F71">
        <v>960</v>
      </c>
      <c r="G71" s="52">
        <v>1812</v>
      </c>
      <c r="H71" s="52">
        <v>1812</v>
      </c>
      <c r="I71" s="52">
        <v>1812</v>
      </c>
      <c r="J71" s="52"/>
      <c r="K71" s="52">
        <v>1812</v>
      </c>
      <c r="L71" s="52">
        <v>1812</v>
      </c>
      <c r="M71" s="52">
        <v>1812</v>
      </c>
      <c r="N71" s="52">
        <v>1812</v>
      </c>
      <c r="O71" s="52">
        <v>1853</v>
      </c>
      <c r="P71" s="18"/>
      <c r="Q71" s="18"/>
      <c r="R71" s="18"/>
      <c r="S71" s="18"/>
      <c r="T71" s="18"/>
      <c r="U71" s="287"/>
      <c r="V71" s="18"/>
      <c r="W71" s="180">
        <f>SUM(B71:T71)</f>
        <v>18997</v>
      </c>
      <c r="Z71" s="247">
        <f>Z70/Z68</f>
        <v>-5.8477881610722555E-08</v>
      </c>
      <c r="AA71" s="155"/>
    </row>
    <row r="72" spans="1:23" ht="12.75">
      <c r="A72" t="s">
        <v>18</v>
      </c>
      <c r="B72">
        <v>500</v>
      </c>
      <c r="D72">
        <v>500</v>
      </c>
      <c r="E72" s="44">
        <v>500</v>
      </c>
      <c r="F72">
        <v>250</v>
      </c>
      <c r="G72" s="49"/>
      <c r="H72" s="49"/>
      <c r="I72" s="49"/>
      <c r="J72" s="49"/>
      <c r="K72" s="49"/>
      <c r="L72" s="49"/>
      <c r="M72" s="49"/>
      <c r="N72" s="49"/>
      <c r="O72" s="49"/>
      <c r="P72" s="14"/>
      <c r="Q72" s="14"/>
      <c r="R72" s="14"/>
      <c r="S72" s="14"/>
      <c r="T72" s="14"/>
      <c r="U72" s="175"/>
      <c r="V72" s="14"/>
      <c r="W72" s="180">
        <f>SUM(B72:T72)</f>
        <v>1750</v>
      </c>
    </row>
    <row r="73" spans="1:25" ht="12.75">
      <c r="A73" t="s">
        <v>17</v>
      </c>
      <c r="B73" s="142"/>
      <c r="C73" s="142"/>
      <c r="D73" s="142"/>
      <c r="E73" s="156"/>
      <c r="G73" s="49"/>
      <c r="H73" s="49"/>
      <c r="I73" s="49"/>
      <c r="J73" s="49"/>
      <c r="K73" s="49"/>
      <c r="L73" s="49"/>
      <c r="M73" s="49"/>
      <c r="N73" s="49"/>
      <c r="O73" s="49"/>
      <c r="P73" s="14"/>
      <c r="Q73" s="14"/>
      <c r="R73" s="19">
        <v>12738</v>
      </c>
      <c r="S73" s="14"/>
      <c r="T73" s="14"/>
      <c r="U73" s="175"/>
      <c r="V73" s="14"/>
      <c r="W73" s="180">
        <f>SUM(B73:T73)</f>
        <v>12738</v>
      </c>
      <c r="Y73" t="s">
        <v>25</v>
      </c>
    </row>
    <row r="74" spans="1:27" s="182" customFormat="1" ht="12.75">
      <c r="A74" s="179" t="s">
        <v>133</v>
      </c>
      <c r="B74" s="180">
        <f aca="true" t="shared" si="17" ref="B74:O74">SUM(B70:B73)</f>
        <v>6162</v>
      </c>
      <c r="C74" s="180">
        <f t="shared" si="17"/>
        <v>0</v>
      </c>
      <c r="D74" s="180">
        <f t="shared" si="17"/>
        <v>6662</v>
      </c>
      <c r="E74" s="187">
        <f t="shared" si="17"/>
        <v>5889</v>
      </c>
      <c r="F74" s="180">
        <f t="shared" si="17"/>
        <v>1210</v>
      </c>
      <c r="G74" s="180">
        <f t="shared" si="17"/>
        <v>9134.616</v>
      </c>
      <c r="H74" s="180">
        <f t="shared" si="17"/>
        <v>9134.616</v>
      </c>
      <c r="I74" s="180">
        <f t="shared" si="17"/>
        <v>9134.616</v>
      </c>
      <c r="J74" s="180">
        <f t="shared" si="17"/>
        <v>0</v>
      </c>
      <c r="K74" s="180">
        <f t="shared" si="17"/>
        <v>9134.616</v>
      </c>
      <c r="L74" s="180">
        <f t="shared" si="17"/>
        <v>9134.616</v>
      </c>
      <c r="M74" s="180">
        <f t="shared" si="17"/>
        <v>9134.616</v>
      </c>
      <c r="N74" s="180">
        <f t="shared" si="17"/>
        <v>9134.616</v>
      </c>
      <c r="O74" s="180">
        <f t="shared" si="17"/>
        <v>5041</v>
      </c>
      <c r="P74" s="180"/>
      <c r="Q74" s="180"/>
      <c r="R74" s="180">
        <f>SUM(R70:R73)</f>
        <v>22738</v>
      </c>
      <c r="S74" s="180"/>
      <c r="T74" s="180"/>
      <c r="U74" s="187"/>
      <c r="V74" s="180">
        <f>SUM(B74:T74)</f>
        <v>111644.31199999999</v>
      </c>
      <c r="W74" s="181">
        <f>SUM(W70:W73)</f>
        <v>111644.312</v>
      </c>
      <c r="Y74" s="185">
        <f>W74+X77</f>
        <v>218999.09857060865</v>
      </c>
      <c r="AA74" s="183"/>
    </row>
    <row r="75" spans="2:28" ht="12.75">
      <c r="B75" s="1"/>
      <c r="C75" s="1"/>
      <c r="D75" s="1"/>
      <c r="E75" s="82"/>
      <c r="F75" s="1"/>
      <c r="G75" s="50"/>
      <c r="H75" s="50"/>
      <c r="I75" s="50"/>
      <c r="J75" s="50"/>
      <c r="K75" s="50"/>
      <c r="L75" s="50"/>
      <c r="M75" s="50"/>
      <c r="N75" s="50"/>
      <c r="O75" s="50"/>
      <c r="P75" s="15"/>
      <c r="Q75" s="15"/>
      <c r="R75" s="50"/>
      <c r="S75" s="15"/>
      <c r="T75" s="15"/>
      <c r="U75" s="288"/>
      <c r="V75" s="15"/>
      <c r="X75" s="5"/>
      <c r="Y75" s="66"/>
      <c r="Z75" s="5"/>
      <c r="AA75" s="93"/>
      <c r="AB75" s="5"/>
    </row>
    <row r="76" spans="1:28" s="186" customFormat="1" ht="12.75">
      <c r="A76" s="179" t="s">
        <v>134</v>
      </c>
      <c r="B76" s="181">
        <f aca="true" t="shared" si="18" ref="B76:O76">B67+B74</f>
        <v>66735.7</v>
      </c>
      <c r="C76" s="181">
        <f t="shared" si="18"/>
        <v>0</v>
      </c>
      <c r="D76" s="181">
        <f t="shared" si="18"/>
        <v>64472</v>
      </c>
      <c r="E76" s="289">
        <f>E67+E74</f>
        <v>41866.5</v>
      </c>
      <c r="F76" s="181">
        <f t="shared" si="18"/>
        <v>2410</v>
      </c>
      <c r="G76" s="181">
        <f t="shared" si="18"/>
        <v>120016.866</v>
      </c>
      <c r="H76" s="181">
        <f t="shared" si="18"/>
        <v>93211.71408287999</v>
      </c>
      <c r="I76" s="181">
        <f t="shared" si="18"/>
        <v>105925.466</v>
      </c>
      <c r="J76" s="181">
        <f t="shared" si="18"/>
        <v>0</v>
      </c>
      <c r="K76" s="181">
        <f t="shared" si="18"/>
        <v>117924.616</v>
      </c>
      <c r="L76" s="181">
        <f t="shared" si="18"/>
        <v>34705.016</v>
      </c>
      <c r="M76" s="181">
        <f t="shared" si="18"/>
        <v>101483.81599999999</v>
      </c>
      <c r="N76" s="181">
        <f t="shared" si="18"/>
        <v>54917.016</v>
      </c>
      <c r="O76" s="181">
        <f t="shared" si="18"/>
        <v>35040.56</v>
      </c>
      <c r="P76" s="181"/>
      <c r="Q76" s="181"/>
      <c r="R76" s="181">
        <f>R67+R74</f>
        <v>22738</v>
      </c>
      <c r="S76" s="181"/>
      <c r="T76" s="181"/>
      <c r="U76" s="289"/>
      <c r="V76" s="181"/>
      <c r="X76" s="180">
        <f>SUM(B76:T76)</f>
        <v>861447.27008288</v>
      </c>
      <c r="Y76" s="185"/>
      <c r="Z76" s="180"/>
      <c r="AA76" s="187"/>
      <c r="AB76" s="180"/>
    </row>
    <row r="77" spans="1:28" ht="12.75">
      <c r="A77" s="1" t="s">
        <v>149</v>
      </c>
      <c r="B77" s="5">
        <f aca="true" t="shared" si="19" ref="B77:O77">B76*0.128</f>
        <v>8542.1696</v>
      </c>
      <c r="C77" s="5">
        <f t="shared" si="19"/>
        <v>0</v>
      </c>
      <c r="D77" s="5">
        <f t="shared" si="19"/>
        <v>8252.416000000001</v>
      </c>
      <c r="E77" s="93">
        <f t="shared" si="19"/>
        <v>5358.912</v>
      </c>
      <c r="F77" s="5">
        <f t="shared" si="19"/>
        <v>308.48</v>
      </c>
      <c r="G77" s="51">
        <f t="shared" si="19"/>
        <v>15362.158848</v>
      </c>
      <c r="H77" s="51">
        <f t="shared" si="19"/>
        <v>11931.09940260864</v>
      </c>
      <c r="I77" s="51">
        <f t="shared" si="19"/>
        <v>13558.459648</v>
      </c>
      <c r="J77" s="51">
        <f t="shared" si="19"/>
        <v>0</v>
      </c>
      <c r="K77" s="51">
        <f t="shared" si="19"/>
        <v>15094.350848</v>
      </c>
      <c r="L77" s="51">
        <f t="shared" si="19"/>
        <v>4442.242048</v>
      </c>
      <c r="M77" s="51">
        <f t="shared" si="19"/>
        <v>12989.928447999999</v>
      </c>
      <c r="N77" s="51">
        <f t="shared" si="19"/>
        <v>7029.3780480000005</v>
      </c>
      <c r="O77" s="51">
        <f t="shared" si="19"/>
        <v>4485.19168</v>
      </c>
      <c r="P77" s="16"/>
      <c r="Q77" s="16"/>
      <c r="R77" s="51"/>
      <c r="S77" s="16"/>
      <c r="T77" s="16"/>
      <c r="U77" s="290"/>
      <c r="V77" s="16"/>
      <c r="X77" s="5">
        <f>SUM(B77:T77)</f>
        <v>107354.78657060864</v>
      </c>
      <c r="Y77" s="66"/>
      <c r="Z77" s="5"/>
      <c r="AA77" s="93"/>
      <c r="AB77" s="5"/>
    </row>
    <row r="78" spans="1:28" ht="12.75">
      <c r="A78" s="1" t="s">
        <v>150</v>
      </c>
      <c r="B78" s="13">
        <f aca="true" t="shared" si="20" ref="B78:O78">B76+B77</f>
        <v>75277.86959999999</v>
      </c>
      <c r="C78" s="13">
        <f t="shared" si="20"/>
        <v>0</v>
      </c>
      <c r="D78" s="13">
        <f t="shared" si="20"/>
        <v>72724.416</v>
      </c>
      <c r="E78" s="157">
        <f t="shared" si="20"/>
        <v>47225.412</v>
      </c>
      <c r="F78" s="13">
        <f t="shared" si="20"/>
        <v>2718.48</v>
      </c>
      <c r="G78" s="53">
        <f t="shared" si="20"/>
        <v>135379.024848</v>
      </c>
      <c r="H78" s="53">
        <f t="shared" si="20"/>
        <v>105142.81348548863</v>
      </c>
      <c r="I78" s="53">
        <f t="shared" si="20"/>
        <v>119483.925648</v>
      </c>
      <c r="J78" s="53">
        <f t="shared" si="20"/>
        <v>0</v>
      </c>
      <c r="K78" s="53">
        <f t="shared" si="20"/>
        <v>133018.96684799998</v>
      </c>
      <c r="L78" s="53">
        <f t="shared" si="20"/>
        <v>39147.258048</v>
      </c>
      <c r="M78" s="53">
        <f t="shared" si="20"/>
        <v>114473.74444799998</v>
      </c>
      <c r="N78" s="53">
        <f t="shared" si="20"/>
        <v>61946.394048</v>
      </c>
      <c r="O78" s="53">
        <f t="shared" si="20"/>
        <v>39525.75168</v>
      </c>
      <c r="P78" s="17"/>
      <c r="Q78" s="17"/>
      <c r="R78" s="53">
        <f>R76+R77</f>
        <v>22738</v>
      </c>
      <c r="S78" s="17"/>
      <c r="T78" s="17"/>
      <c r="U78" s="291"/>
      <c r="V78" s="5">
        <f>SUM(B78:T78)</f>
        <v>968802.0566534887</v>
      </c>
      <c r="X78" s="13">
        <f>SUM(X76:X77)</f>
        <v>968802.0566534887</v>
      </c>
      <c r="Z78" s="93"/>
      <c r="AA78" s="93"/>
      <c r="AB78" s="93"/>
    </row>
    <row r="79" spans="1:28" ht="12.75">
      <c r="A79" s="1"/>
      <c r="B79" s="13">
        <f>+B76+C76+D76</f>
        <v>131207.7</v>
      </c>
      <c r="C79" s="13"/>
      <c r="D79" s="13"/>
      <c r="E79" s="157"/>
      <c r="F79" s="13"/>
      <c r="G79" s="53"/>
      <c r="H79" s="53"/>
      <c r="I79" s="53"/>
      <c r="J79" s="53"/>
      <c r="K79" s="53"/>
      <c r="L79" s="53"/>
      <c r="M79" s="53"/>
      <c r="N79" s="53"/>
      <c r="O79" s="53"/>
      <c r="P79" s="17"/>
      <c r="Q79" s="17"/>
      <c r="R79" s="17"/>
      <c r="S79" s="17"/>
      <c r="T79" s="17"/>
      <c r="U79" s="291"/>
      <c r="V79" s="17"/>
      <c r="X79" s="5"/>
      <c r="Z79" s="93"/>
      <c r="AA79" s="93"/>
      <c r="AB79" s="93"/>
    </row>
    <row r="80" spans="1:24" ht="12.75">
      <c r="A80" s="30" t="s">
        <v>95</v>
      </c>
      <c r="B80" s="13"/>
      <c r="C80" s="13"/>
      <c r="D80" s="13"/>
      <c r="E80" s="157"/>
      <c r="F80" s="13"/>
      <c r="G80" s="53"/>
      <c r="H80" s="53"/>
      <c r="I80" s="53"/>
      <c r="J80" s="53"/>
      <c r="K80" s="53"/>
      <c r="L80" s="53"/>
      <c r="M80" s="53"/>
      <c r="N80" s="53"/>
      <c r="O80" s="53"/>
      <c r="P80" s="17"/>
      <c r="Q80" s="17"/>
      <c r="R80" s="17"/>
      <c r="S80" s="17"/>
      <c r="T80" s="17"/>
      <c r="U80" s="291"/>
      <c r="V80" s="17"/>
      <c r="X80" s="5"/>
    </row>
    <row r="81" spans="1:28" s="97" customFormat="1" ht="12.75">
      <c r="A81" s="94" t="s">
        <v>96</v>
      </c>
      <c r="B81" s="95">
        <v>6</v>
      </c>
      <c r="C81" s="95">
        <v>0</v>
      </c>
      <c r="D81" s="95">
        <v>6</v>
      </c>
      <c r="E81" s="296">
        <v>6</v>
      </c>
      <c r="G81" s="95">
        <v>9</v>
      </c>
      <c r="H81" s="95">
        <v>9</v>
      </c>
      <c r="I81" s="95">
        <v>9</v>
      </c>
      <c r="J81" s="95">
        <v>0</v>
      </c>
      <c r="K81" s="95">
        <v>9</v>
      </c>
      <c r="L81" s="95">
        <v>9</v>
      </c>
      <c r="M81" s="95">
        <v>9</v>
      </c>
      <c r="N81" s="95">
        <v>9</v>
      </c>
      <c r="O81" s="95">
        <v>4</v>
      </c>
      <c r="P81" s="96"/>
      <c r="Q81" s="96"/>
      <c r="R81" s="96"/>
      <c r="S81" s="96"/>
      <c r="T81" s="96"/>
      <c r="U81" s="292"/>
      <c r="V81" s="96"/>
      <c r="W81" s="186"/>
      <c r="X81" s="98"/>
      <c r="Z81" s="117"/>
      <c r="AA81" s="117"/>
      <c r="AB81" s="93"/>
    </row>
    <row r="82" spans="1:28" s="97" customFormat="1" ht="12.75">
      <c r="A82" s="94" t="s">
        <v>97</v>
      </c>
      <c r="B82" s="100">
        <v>600</v>
      </c>
      <c r="C82" s="100">
        <v>600</v>
      </c>
      <c r="D82" s="100">
        <v>600</v>
      </c>
      <c r="E82" s="297">
        <v>600</v>
      </c>
      <c r="G82" s="100">
        <v>500</v>
      </c>
      <c r="H82" s="100">
        <v>500</v>
      </c>
      <c r="I82" s="100">
        <v>500</v>
      </c>
      <c r="J82" s="100">
        <v>500</v>
      </c>
      <c r="K82" s="100">
        <v>500</v>
      </c>
      <c r="L82" s="100">
        <v>500</v>
      </c>
      <c r="M82" s="100">
        <v>500</v>
      </c>
      <c r="N82" s="100">
        <v>500</v>
      </c>
      <c r="O82" s="100">
        <v>620</v>
      </c>
      <c r="P82" s="96"/>
      <c r="Q82" s="96"/>
      <c r="R82" s="96"/>
      <c r="S82" s="96"/>
      <c r="T82" s="96"/>
      <c r="U82" s="292"/>
      <c r="V82" s="96"/>
      <c r="W82" s="186"/>
      <c r="X82" s="98"/>
      <c r="Z82" s="99"/>
      <c r="AA82" s="99"/>
      <c r="AB82" s="99"/>
    </row>
    <row r="83" spans="1:28" s="104" customFormat="1" ht="12.75">
      <c r="A83" s="101" t="s">
        <v>98</v>
      </c>
      <c r="B83" s="102">
        <v>12</v>
      </c>
      <c r="C83" s="102"/>
      <c r="D83" s="102">
        <v>12</v>
      </c>
      <c r="E83" s="298">
        <v>12</v>
      </c>
      <c r="G83" s="102">
        <v>14</v>
      </c>
      <c r="H83" s="102">
        <v>14</v>
      </c>
      <c r="I83" s="102">
        <v>14</v>
      </c>
      <c r="J83" s="102">
        <v>0</v>
      </c>
      <c r="K83" s="102">
        <v>14</v>
      </c>
      <c r="L83" s="102">
        <v>14</v>
      </c>
      <c r="M83" s="102">
        <v>14</v>
      </c>
      <c r="N83" s="102">
        <v>14</v>
      </c>
      <c r="O83" s="102">
        <v>8</v>
      </c>
      <c r="P83" s="103"/>
      <c r="Q83" s="103"/>
      <c r="R83" s="103"/>
      <c r="S83" s="103"/>
      <c r="T83" s="103"/>
      <c r="U83" s="293"/>
      <c r="V83" s="103"/>
      <c r="W83" s="186"/>
      <c r="X83" s="105"/>
      <c r="Z83" s="106"/>
      <c r="AA83" s="106"/>
      <c r="AB83" s="106"/>
    </row>
    <row r="84" spans="1:28" s="104" customFormat="1" ht="12.75">
      <c r="A84" s="101" t="s">
        <v>101</v>
      </c>
      <c r="B84" s="107">
        <v>43</v>
      </c>
      <c r="C84" s="107">
        <v>43</v>
      </c>
      <c r="D84" s="107">
        <v>43</v>
      </c>
      <c r="E84" s="299">
        <v>43</v>
      </c>
      <c r="G84" s="107">
        <v>43</v>
      </c>
      <c r="H84" s="107">
        <v>43</v>
      </c>
      <c r="I84" s="107">
        <v>43</v>
      </c>
      <c r="J84" s="107">
        <v>43</v>
      </c>
      <c r="K84" s="107">
        <v>43</v>
      </c>
      <c r="L84" s="107">
        <v>43</v>
      </c>
      <c r="M84" s="107">
        <v>43</v>
      </c>
      <c r="N84" s="107">
        <v>43</v>
      </c>
      <c r="O84" s="107">
        <v>43</v>
      </c>
      <c r="P84" s="103"/>
      <c r="Q84" s="103"/>
      <c r="R84" s="103"/>
      <c r="S84" s="103"/>
      <c r="T84" s="103"/>
      <c r="U84" s="293"/>
      <c r="V84" s="103"/>
      <c r="W84" s="186"/>
      <c r="X84" s="105"/>
      <c r="Z84" s="106"/>
      <c r="AA84" s="106"/>
      <c r="AB84" s="106"/>
    </row>
    <row r="85" spans="1:28" s="109" customFormat="1" ht="12.75">
      <c r="A85" s="108" t="s">
        <v>99</v>
      </c>
      <c r="B85" s="109">
        <v>6</v>
      </c>
      <c r="C85" s="109">
        <v>0</v>
      </c>
      <c r="D85" s="109">
        <v>6</v>
      </c>
      <c r="E85" s="110">
        <v>3</v>
      </c>
      <c r="G85" s="109">
        <v>10</v>
      </c>
      <c r="H85" s="109">
        <v>10</v>
      </c>
      <c r="I85" s="109">
        <v>10</v>
      </c>
      <c r="J85" s="109">
        <v>0</v>
      </c>
      <c r="K85" s="109">
        <v>10</v>
      </c>
      <c r="L85" s="109">
        <v>10</v>
      </c>
      <c r="M85" s="109">
        <v>10</v>
      </c>
      <c r="N85" s="109">
        <v>10</v>
      </c>
      <c r="O85" s="109">
        <v>4</v>
      </c>
      <c r="U85" s="110"/>
      <c r="W85" s="186"/>
      <c r="Z85" s="110"/>
      <c r="AA85" s="110"/>
      <c r="AB85" s="110"/>
    </row>
    <row r="86" spans="1:28" s="109" customFormat="1" ht="12.75">
      <c r="A86" s="108" t="s">
        <v>100</v>
      </c>
      <c r="B86" s="111">
        <v>91</v>
      </c>
      <c r="C86" s="111">
        <v>91</v>
      </c>
      <c r="D86" s="111">
        <v>91</v>
      </c>
      <c r="E86" s="300">
        <v>91</v>
      </c>
      <c r="G86" s="111">
        <v>91</v>
      </c>
      <c r="H86" s="111">
        <v>91</v>
      </c>
      <c r="I86" s="111">
        <v>91</v>
      </c>
      <c r="J86" s="111">
        <v>91</v>
      </c>
      <c r="K86" s="111">
        <v>91</v>
      </c>
      <c r="L86" s="111">
        <v>91</v>
      </c>
      <c r="M86" s="111">
        <v>91</v>
      </c>
      <c r="N86" s="111">
        <v>91</v>
      </c>
      <c r="O86" s="111">
        <v>91</v>
      </c>
      <c r="U86" s="110"/>
      <c r="W86" s="186"/>
      <c r="Z86" s="112"/>
      <c r="AA86" s="112"/>
      <c r="AB86" s="110"/>
    </row>
    <row r="87" spans="1:28" s="1" customFormat="1" ht="12.75">
      <c r="A87" s="30" t="s">
        <v>105</v>
      </c>
      <c r="B87" s="5">
        <f>B81*B82+B83*B84+B85*B86</f>
        <v>4662</v>
      </c>
      <c r="C87" s="5">
        <f>C81*C82+C83*C84+C85*C86</f>
        <v>0</v>
      </c>
      <c r="D87" s="5">
        <f>D81*D82+D83*D84+D85*D86</f>
        <v>4662</v>
      </c>
      <c r="E87" s="93">
        <f>E81*E82+E83*E84+E85*E86</f>
        <v>4389</v>
      </c>
      <c r="F87" s="5"/>
      <c r="G87" s="5">
        <f aca="true" t="shared" si="21" ref="G87:O87">G81*G82+G83*G84+G85*G86</f>
        <v>6012</v>
      </c>
      <c r="H87" s="5">
        <f t="shared" si="21"/>
        <v>6012</v>
      </c>
      <c r="I87" s="5">
        <f t="shared" si="21"/>
        <v>6012</v>
      </c>
      <c r="J87" s="5">
        <f t="shared" si="21"/>
        <v>0</v>
      </c>
      <c r="K87" s="5">
        <f t="shared" si="21"/>
        <v>6012</v>
      </c>
      <c r="L87" s="5">
        <f t="shared" si="21"/>
        <v>6012</v>
      </c>
      <c r="M87" s="5">
        <f t="shared" si="21"/>
        <v>6012</v>
      </c>
      <c r="N87" s="5">
        <f t="shared" si="21"/>
        <v>6012</v>
      </c>
      <c r="O87" s="5">
        <f t="shared" si="21"/>
        <v>3188</v>
      </c>
      <c r="U87" s="82"/>
      <c r="W87" s="182"/>
      <c r="Z87" s="93"/>
      <c r="AA87" s="93"/>
      <c r="AB87" s="82"/>
    </row>
    <row r="88" spans="1:28" s="6" customFormat="1" ht="12.75">
      <c r="A88" s="90" t="s">
        <v>106</v>
      </c>
      <c r="B88" s="92">
        <v>0</v>
      </c>
      <c r="C88" s="92">
        <v>0</v>
      </c>
      <c r="D88" s="92">
        <v>0</v>
      </c>
      <c r="E88" s="113">
        <v>0</v>
      </c>
      <c r="F88" s="92"/>
      <c r="G88" s="92">
        <f aca="true" t="shared" si="22" ref="G88:N88">0.218*G87</f>
        <v>1310.616</v>
      </c>
      <c r="H88" s="92">
        <f t="shared" si="22"/>
        <v>1310.616</v>
      </c>
      <c r="I88" s="92">
        <f t="shared" si="22"/>
        <v>1310.616</v>
      </c>
      <c r="J88" s="92">
        <f t="shared" si="22"/>
        <v>0</v>
      </c>
      <c r="K88" s="92">
        <f t="shared" si="22"/>
        <v>1310.616</v>
      </c>
      <c r="L88" s="92">
        <f t="shared" si="22"/>
        <v>1310.616</v>
      </c>
      <c r="M88" s="92">
        <f t="shared" si="22"/>
        <v>1310.616</v>
      </c>
      <c r="N88" s="92">
        <f t="shared" si="22"/>
        <v>1310.616</v>
      </c>
      <c r="O88" s="92">
        <v>0</v>
      </c>
      <c r="U88" s="68"/>
      <c r="W88" s="186"/>
      <c r="Z88" s="113"/>
      <c r="AA88" s="113"/>
      <c r="AB88" s="68"/>
    </row>
    <row r="89" spans="1:28" s="1" customFormat="1" ht="12.75">
      <c r="A89" s="30" t="s">
        <v>104</v>
      </c>
      <c r="B89" s="5">
        <f>B87+B88</f>
        <v>4662</v>
      </c>
      <c r="C89" s="5">
        <f>C87+C88</f>
        <v>0</v>
      </c>
      <c r="D89" s="5">
        <f>D87+D88</f>
        <v>4662</v>
      </c>
      <c r="E89" s="93">
        <f>E87+E88</f>
        <v>4389</v>
      </c>
      <c r="F89" s="5"/>
      <c r="G89" s="5">
        <f aca="true" t="shared" si="23" ref="G89:O89">G87+G88</f>
        <v>7322.616</v>
      </c>
      <c r="H89" s="5">
        <f t="shared" si="23"/>
        <v>7322.616</v>
      </c>
      <c r="I89" s="5">
        <f t="shared" si="23"/>
        <v>7322.616</v>
      </c>
      <c r="J89" s="5">
        <f t="shared" si="23"/>
        <v>0</v>
      </c>
      <c r="K89" s="5">
        <f t="shared" si="23"/>
        <v>7322.616</v>
      </c>
      <c r="L89" s="5">
        <f t="shared" si="23"/>
        <v>7322.616</v>
      </c>
      <c r="M89" s="5">
        <f t="shared" si="23"/>
        <v>7322.616</v>
      </c>
      <c r="N89" s="5">
        <f t="shared" si="23"/>
        <v>7322.616</v>
      </c>
      <c r="O89" s="5">
        <f t="shared" si="23"/>
        <v>3188</v>
      </c>
      <c r="U89" s="82"/>
      <c r="W89" s="182"/>
      <c r="Z89" s="93"/>
      <c r="AA89" s="93"/>
      <c r="AB89" s="82"/>
    </row>
    <row r="90" spans="1:28" s="1" customFormat="1" ht="12.75">
      <c r="A90" s="30"/>
      <c r="E90" s="82"/>
      <c r="W90" s="182"/>
      <c r="Z90" s="93"/>
      <c r="AA90" s="93"/>
      <c r="AB90" s="82"/>
    </row>
    <row r="91" spans="1:28" s="1" customFormat="1" ht="12.75">
      <c r="A91" s="30" t="s">
        <v>200</v>
      </c>
      <c r="B91" s="305">
        <v>64522.5</v>
      </c>
      <c r="C91" s="306">
        <v>42189.649775275924</v>
      </c>
      <c r="D91" s="306">
        <v>43804</v>
      </c>
      <c r="E91" s="306">
        <v>22808</v>
      </c>
      <c r="F91" s="307">
        <v>2160</v>
      </c>
      <c r="G91" s="122">
        <f>SUM(B91:F91)</f>
        <v>175484.14977527593</v>
      </c>
      <c r="H91" s="119"/>
      <c r="I91" s="119"/>
      <c r="J91" s="164"/>
      <c r="K91" s="120"/>
      <c r="L91" s="125"/>
      <c r="M91" s="125"/>
      <c r="N91" s="125"/>
      <c r="O91" s="125"/>
      <c r="W91" s="182"/>
      <c r="Z91" s="93"/>
      <c r="AA91" s="93"/>
      <c r="AB91" s="82"/>
    </row>
    <row r="92" spans="1:28" ht="12.75">
      <c r="A92" s="205" t="s">
        <v>201</v>
      </c>
      <c r="B92" s="309">
        <f>B76</f>
        <v>66735.7</v>
      </c>
      <c r="C92" s="309">
        <f>C76</f>
        <v>0</v>
      </c>
      <c r="D92" s="309">
        <f>D76</f>
        <v>64472</v>
      </c>
      <c r="E92" s="309">
        <f>E76</f>
        <v>41866.5</v>
      </c>
      <c r="F92" s="309">
        <f>F76</f>
        <v>2410</v>
      </c>
      <c r="G92" s="308">
        <f>SUM(B92:F92)</f>
        <v>175484.2</v>
      </c>
      <c r="H92" s="121"/>
      <c r="I92" s="122"/>
      <c r="J92" s="137"/>
      <c r="K92" s="138"/>
      <c r="L92" s="126"/>
      <c r="M92" s="127"/>
      <c r="N92" s="139"/>
      <c r="O92" s="140"/>
      <c r="P92" s="141"/>
      <c r="Z92" s="44"/>
      <c r="AB92" s="44"/>
    </row>
    <row r="93" spans="2:16" ht="12.75">
      <c r="B93" s="123"/>
      <c r="C93" s="124"/>
      <c r="D93" s="135"/>
      <c r="E93" s="135"/>
      <c r="F93" s="136"/>
      <c r="G93" s="121"/>
      <c r="H93" s="121"/>
      <c r="I93" s="122"/>
      <c r="J93" s="137"/>
      <c r="K93" s="138"/>
      <c r="L93" s="126"/>
      <c r="M93" s="127"/>
      <c r="N93" s="139"/>
      <c r="O93" s="140"/>
      <c r="P93" s="141"/>
    </row>
    <row r="94" spans="2:16" ht="12.75">
      <c r="B94" s="123"/>
      <c r="C94" s="124"/>
      <c r="D94" s="135"/>
      <c r="E94" s="135"/>
      <c r="F94" s="136"/>
      <c r="G94" s="121"/>
      <c r="H94" s="121"/>
      <c r="I94" s="122"/>
      <c r="J94" s="137"/>
      <c r="K94" s="138"/>
      <c r="L94" s="126"/>
      <c r="M94" s="127"/>
      <c r="N94" s="139"/>
      <c r="O94" s="140"/>
      <c r="P94" s="141"/>
    </row>
    <row r="96" spans="1:13" ht="12.75">
      <c r="A96" s="1" t="s">
        <v>56</v>
      </c>
      <c r="B96" s="310" t="s">
        <v>202</v>
      </c>
      <c r="C96" s="311"/>
      <c r="D96" s="312">
        <f>SUM(B67:F67)</f>
        <v>155561.2</v>
      </c>
      <c r="G96" s="44"/>
      <c r="H96" s="44"/>
      <c r="I96" s="44"/>
      <c r="J96" s="153"/>
      <c r="K96" s="153"/>
      <c r="L96" s="153"/>
      <c r="M96" s="44"/>
    </row>
    <row r="97" spans="7:14" ht="12.75">
      <c r="G97" s="44"/>
      <c r="H97" s="44"/>
      <c r="I97" s="44"/>
      <c r="J97" s="154"/>
      <c r="K97" s="113"/>
      <c r="L97" s="155"/>
      <c r="M97" s="156"/>
      <c r="N97" s="142"/>
    </row>
    <row r="98" spans="1:14" ht="12.75">
      <c r="A98" t="s">
        <v>57</v>
      </c>
      <c r="G98" s="44"/>
      <c r="H98" s="44"/>
      <c r="I98" s="44"/>
      <c r="J98" s="113"/>
      <c r="K98" s="113"/>
      <c r="L98" s="155"/>
      <c r="M98" s="155"/>
      <c r="N98" s="19"/>
    </row>
    <row r="99" spans="1:14" ht="12.75">
      <c r="A99" t="s">
        <v>59</v>
      </c>
      <c r="G99" s="44"/>
      <c r="H99" s="44"/>
      <c r="I99" s="44"/>
      <c r="J99" s="113"/>
      <c r="K99" s="113"/>
      <c r="L99" s="155"/>
      <c r="M99" s="156"/>
      <c r="N99" s="142"/>
    </row>
    <row r="100" spans="1:13" ht="12.75">
      <c r="A100" t="s">
        <v>196</v>
      </c>
      <c r="G100" s="82"/>
      <c r="H100" s="44"/>
      <c r="I100" s="44"/>
      <c r="J100" s="157"/>
      <c r="K100" s="157"/>
      <c r="L100" s="157"/>
      <c r="M100" s="44"/>
    </row>
    <row r="101" spans="7:13" ht="12.75">
      <c r="G101" s="44"/>
      <c r="H101" s="44"/>
      <c r="I101" s="44"/>
      <c r="J101" s="44"/>
      <c r="K101" s="44"/>
      <c r="L101" s="44"/>
      <c r="M101" s="44"/>
    </row>
    <row r="102" spans="7:13" ht="12.75">
      <c r="G102" s="44"/>
      <c r="H102" s="44"/>
      <c r="I102" s="44"/>
      <c r="J102" s="155"/>
      <c r="K102" s="155"/>
      <c r="L102" s="155"/>
      <c r="M102" s="44"/>
    </row>
    <row r="103" spans="7:13" ht="12.75">
      <c r="G103" s="44"/>
      <c r="H103" s="44"/>
      <c r="I103" s="44"/>
      <c r="J103" s="155"/>
      <c r="K103" s="155"/>
      <c r="L103" s="155"/>
      <c r="M103" s="44"/>
    </row>
    <row r="104" spans="7:13" ht="12.75">
      <c r="G104" s="82"/>
      <c r="H104" s="44"/>
      <c r="I104" s="44"/>
      <c r="J104" s="157"/>
      <c r="K104" s="157"/>
      <c r="L104" s="157"/>
      <c r="M104" s="44"/>
    </row>
    <row r="105" spans="7:13" ht="12.75">
      <c r="G105" s="44"/>
      <c r="H105" s="44"/>
      <c r="I105" s="44"/>
      <c r="J105" s="44"/>
      <c r="K105" s="44"/>
      <c r="L105" s="44"/>
      <c r="M105" s="44"/>
    </row>
    <row r="106" spans="7:13" ht="12.75">
      <c r="G106" s="82"/>
      <c r="H106" s="44"/>
      <c r="I106" s="44"/>
      <c r="J106" s="157"/>
      <c r="K106" s="157"/>
      <c r="L106" s="157"/>
      <c r="M106" s="44"/>
    </row>
  </sheetData>
  <mergeCells count="3">
    <mergeCell ref="V3:V4"/>
    <mergeCell ref="B4:F4"/>
    <mergeCell ref="A61:A62"/>
  </mergeCells>
  <printOptions/>
  <pageMargins left="0.75" right="0.75" top="1" bottom="1" header="0.5" footer="0.5"/>
  <pageSetup horizontalDpi="600" verticalDpi="600" orientation="landscape" paperSize="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140625" defaultRowHeight="12.75"/>
  <cols>
    <col min="1" max="1" width="75.57421875" style="70" customWidth="1"/>
    <col min="2" max="3" width="5.00390625" style="73" customWidth="1"/>
    <col min="4" max="4" width="5.421875" style="73" customWidth="1"/>
    <col min="5" max="10" width="5.00390625" style="72" customWidth="1"/>
    <col min="11" max="12" width="5.00390625" style="73" customWidth="1"/>
    <col min="13" max="13" width="6.00390625" style="72" customWidth="1"/>
    <col min="14" max="14" width="9.00390625" style="70" customWidth="1"/>
    <col min="15" max="16384" width="9.140625" style="70" customWidth="1"/>
  </cols>
  <sheetData>
    <row r="1" spans="1:14" ht="18">
      <c r="A1" s="248" t="s">
        <v>333</v>
      </c>
      <c r="B1" s="249"/>
      <c r="C1" s="249"/>
      <c r="D1" s="249"/>
      <c r="E1" s="249"/>
      <c r="F1" s="249"/>
      <c r="G1" s="249"/>
      <c r="H1" s="249"/>
      <c r="I1" s="249"/>
      <c r="J1" s="249"/>
      <c r="K1" s="249"/>
      <c r="L1" s="249"/>
      <c r="M1" s="249"/>
      <c r="N1" s="250"/>
    </row>
    <row r="2" spans="1:14" ht="15" thickBot="1">
      <c r="A2" s="251"/>
      <c r="B2" s="71" t="s">
        <v>76</v>
      </c>
      <c r="C2" s="71"/>
      <c r="D2" s="71"/>
      <c r="E2" s="73"/>
      <c r="F2" s="73"/>
      <c r="G2" s="73"/>
      <c r="H2" s="73"/>
      <c r="I2" s="73"/>
      <c r="J2" s="73"/>
      <c r="M2" s="73"/>
      <c r="N2" s="252"/>
    </row>
    <row r="3" spans="1:14" ht="15.75" thickBot="1">
      <c r="A3" s="197"/>
      <c r="B3" s="80" t="s">
        <v>154</v>
      </c>
      <c r="C3" s="76"/>
      <c r="D3" s="76"/>
      <c r="E3" s="81"/>
      <c r="F3" s="74"/>
      <c r="G3" s="74"/>
      <c r="H3" s="74"/>
      <c r="I3" s="75"/>
      <c r="J3" s="76" t="s">
        <v>176</v>
      </c>
      <c r="K3" s="76"/>
      <c r="L3" s="76"/>
      <c r="M3" s="77"/>
      <c r="N3" s="252"/>
    </row>
    <row r="4" spans="1:14" ht="15" thickBot="1">
      <c r="A4" s="253" t="s">
        <v>124</v>
      </c>
      <c r="B4" s="84" t="s">
        <v>87</v>
      </c>
      <c r="C4" s="85" t="s">
        <v>88</v>
      </c>
      <c r="D4" s="86" t="s">
        <v>77</v>
      </c>
      <c r="E4" s="84" t="s">
        <v>78</v>
      </c>
      <c r="F4" s="85" t="s">
        <v>79</v>
      </c>
      <c r="G4" s="86" t="s">
        <v>80</v>
      </c>
      <c r="H4" s="84" t="s">
        <v>81</v>
      </c>
      <c r="I4" s="85" t="s">
        <v>82</v>
      </c>
      <c r="J4" s="86" t="s">
        <v>83</v>
      </c>
      <c r="K4" s="84" t="s">
        <v>84</v>
      </c>
      <c r="L4" s="85" t="s">
        <v>85</v>
      </c>
      <c r="M4" s="86" t="s">
        <v>86</v>
      </c>
      <c r="N4" s="254" t="s">
        <v>89</v>
      </c>
    </row>
    <row r="5" spans="1:15" ht="12.75">
      <c r="A5" s="255"/>
      <c r="B5" s="198"/>
      <c r="C5" s="198"/>
      <c r="D5" s="198"/>
      <c r="E5" s="198"/>
      <c r="F5" s="198"/>
      <c r="G5" s="198"/>
      <c r="H5" s="198"/>
      <c r="I5" s="198"/>
      <c r="J5" s="198"/>
      <c r="K5" s="198"/>
      <c r="L5" s="198"/>
      <c r="M5" s="198"/>
      <c r="N5" s="256"/>
      <c r="O5"/>
    </row>
    <row r="6" spans="1:15" ht="12" customHeight="1">
      <c r="A6" s="257" t="str">
        <f>' FY07_09 Detailed  Budget '!A14</f>
        <v>1. Develop Work Plans / Interact w Prog. Entities (all tasks)</v>
      </c>
      <c r="B6" s="199">
        <v>0.05</v>
      </c>
      <c r="C6" s="199">
        <v>0.05</v>
      </c>
      <c r="D6" s="199">
        <v>0.05</v>
      </c>
      <c r="E6" s="199">
        <v>0.05</v>
      </c>
      <c r="F6" s="199">
        <v>0.05</v>
      </c>
      <c r="G6" s="199">
        <v>0.05</v>
      </c>
      <c r="H6" s="199">
        <v>0.05</v>
      </c>
      <c r="I6" s="199">
        <v>0.05</v>
      </c>
      <c r="J6" s="199">
        <v>0.1</v>
      </c>
      <c r="K6" s="199">
        <v>0.1</v>
      </c>
      <c r="L6" s="199">
        <v>0.2</v>
      </c>
      <c r="M6" s="199">
        <v>0.2</v>
      </c>
      <c r="N6" s="256">
        <f aca="true" t="shared" si="0" ref="N6:N58">SUM(B6:M6)</f>
        <v>1</v>
      </c>
      <c r="O6"/>
    </row>
    <row r="7" spans="1:15" ht="12.75" hidden="1">
      <c r="A7" s="258" t="s">
        <v>55</v>
      </c>
      <c r="B7" s="194"/>
      <c r="C7" s="194"/>
      <c r="D7" s="194"/>
      <c r="E7" s="194"/>
      <c r="F7" s="194"/>
      <c r="G7" s="194"/>
      <c r="H7" s="194"/>
      <c r="I7" s="194"/>
      <c r="J7" s="194"/>
      <c r="K7" s="194"/>
      <c r="L7" s="194"/>
      <c r="M7" s="194"/>
      <c r="N7" s="256">
        <f t="shared" si="0"/>
        <v>0</v>
      </c>
      <c r="O7"/>
    </row>
    <row r="8" spans="1:15" ht="12.75" hidden="1">
      <c r="A8" s="258" t="s">
        <v>53</v>
      </c>
      <c r="B8" s="194"/>
      <c r="C8" s="194"/>
      <c r="D8" s="194"/>
      <c r="E8" s="194"/>
      <c r="F8" s="194"/>
      <c r="G8" s="194"/>
      <c r="H8" s="194"/>
      <c r="I8" s="194"/>
      <c r="J8" s="194"/>
      <c r="K8" s="194"/>
      <c r="L8" s="194"/>
      <c r="M8" s="194"/>
      <c r="N8" s="256">
        <f t="shared" si="0"/>
        <v>0</v>
      </c>
      <c r="O8"/>
    </row>
    <row r="9" spans="1:15" ht="12.75" hidden="1">
      <c r="A9" s="258" t="s">
        <v>54</v>
      </c>
      <c r="B9" s="194"/>
      <c r="C9" s="194"/>
      <c r="D9" s="194"/>
      <c r="E9" s="194"/>
      <c r="F9" s="194"/>
      <c r="G9" s="194"/>
      <c r="H9" s="194"/>
      <c r="I9" s="194"/>
      <c r="J9" s="194"/>
      <c r="K9" s="194"/>
      <c r="L9" s="194"/>
      <c r="M9" s="194"/>
      <c r="N9" s="256">
        <f t="shared" si="0"/>
        <v>0</v>
      </c>
      <c r="O9"/>
    </row>
    <row r="10" spans="1:15" ht="12.75" hidden="1">
      <c r="A10" s="258" t="s">
        <v>15</v>
      </c>
      <c r="B10" s="194"/>
      <c r="C10" s="194"/>
      <c r="D10" s="194"/>
      <c r="E10" s="194"/>
      <c r="F10" s="194"/>
      <c r="G10" s="194"/>
      <c r="H10" s="194"/>
      <c r="I10" s="194"/>
      <c r="J10" s="194"/>
      <c r="K10" s="194"/>
      <c r="L10" s="194"/>
      <c r="M10" s="194"/>
      <c r="N10" s="256">
        <f t="shared" si="0"/>
        <v>0</v>
      </c>
      <c r="O10"/>
    </row>
    <row r="11" spans="1:15" ht="12.75" hidden="1">
      <c r="A11" s="258" t="s">
        <v>60</v>
      </c>
      <c r="B11" s="194"/>
      <c r="C11" s="194"/>
      <c r="D11" s="194"/>
      <c r="E11" s="194"/>
      <c r="F11" s="194"/>
      <c r="G11" s="194"/>
      <c r="H11" s="194"/>
      <c r="I11" s="194"/>
      <c r="J11" s="194"/>
      <c r="K11" s="194"/>
      <c r="L11" s="194"/>
      <c r="M11" s="194"/>
      <c r="N11" s="256">
        <f t="shared" si="0"/>
        <v>0</v>
      </c>
      <c r="O11"/>
    </row>
    <row r="12" spans="1:15" ht="12" customHeight="1" hidden="1">
      <c r="A12" s="258" t="s">
        <v>58</v>
      </c>
      <c r="B12" s="194"/>
      <c r="C12" s="194"/>
      <c r="D12" s="194"/>
      <c r="E12" s="194"/>
      <c r="F12" s="194"/>
      <c r="G12" s="194"/>
      <c r="H12" s="194"/>
      <c r="I12" s="194"/>
      <c r="J12" s="194"/>
      <c r="K12" s="194"/>
      <c r="L12" s="194"/>
      <c r="M12" s="194"/>
      <c r="N12" s="256">
        <f t="shared" si="0"/>
        <v>0</v>
      </c>
      <c r="O12"/>
    </row>
    <row r="13" spans="1:15" ht="12.75" hidden="1">
      <c r="A13" s="258"/>
      <c r="B13" s="194"/>
      <c r="C13" s="194"/>
      <c r="D13" s="194"/>
      <c r="E13" s="194"/>
      <c r="F13" s="194"/>
      <c r="G13" s="194"/>
      <c r="H13" s="194"/>
      <c r="I13" s="194"/>
      <c r="J13" s="194"/>
      <c r="K13" s="194"/>
      <c r="L13" s="194"/>
      <c r="M13" s="194"/>
      <c r="N13" s="256"/>
      <c r="O13"/>
    </row>
    <row r="14" spans="1:15" ht="12.75" hidden="1">
      <c r="A14" s="259" t="s">
        <v>135</v>
      </c>
      <c r="B14" s="194"/>
      <c r="C14" s="194"/>
      <c r="D14" s="194"/>
      <c r="E14" s="194"/>
      <c r="F14" s="194"/>
      <c r="G14" s="194"/>
      <c r="H14" s="194"/>
      <c r="I14" s="194"/>
      <c r="J14" s="194"/>
      <c r="K14" s="194"/>
      <c r="L14" s="194"/>
      <c r="M14" s="194"/>
      <c r="N14" s="256">
        <f t="shared" si="0"/>
        <v>0</v>
      </c>
      <c r="O14"/>
    </row>
    <row r="15" spans="1:15" ht="12.75" customHeight="1">
      <c r="A15" s="259"/>
      <c r="B15" s="194"/>
      <c r="C15" s="194"/>
      <c r="D15" s="194"/>
      <c r="E15" s="194"/>
      <c r="F15" s="194"/>
      <c r="G15" s="194"/>
      <c r="H15" s="194"/>
      <c r="I15" s="194"/>
      <c r="J15" s="194"/>
      <c r="K15" s="194"/>
      <c r="L15" s="194"/>
      <c r="M15" s="194"/>
      <c r="N15" s="256"/>
      <c r="O15"/>
    </row>
    <row r="16" spans="1:15" ht="12.75">
      <c r="A16" s="260" t="str">
        <f>' FY07_09 Detailed  Budget '!A24</f>
        <v>2. Inventory existing data relevant to questions</v>
      </c>
      <c r="B16" s="194"/>
      <c r="C16" s="194"/>
      <c r="D16" s="194"/>
      <c r="E16" s="194"/>
      <c r="F16" s="194"/>
      <c r="G16" s="194"/>
      <c r="H16" s="194"/>
      <c r="I16" s="194"/>
      <c r="J16" s="194"/>
      <c r="K16" s="194"/>
      <c r="L16" s="194"/>
      <c r="M16" s="194"/>
      <c r="N16" s="256"/>
      <c r="O16"/>
    </row>
    <row r="17" spans="1:15" ht="12.75">
      <c r="A17" s="261" t="str">
        <f>' FY07_09 Detailed  Budget '!A25</f>
        <v>2.1 QA on StreamNet Inventory Work prepatory to ID, WA, OR pilot designs</v>
      </c>
      <c r="B17" s="199">
        <v>0.33</v>
      </c>
      <c r="C17" s="199">
        <v>0.33</v>
      </c>
      <c r="D17" s="199">
        <v>0.34</v>
      </c>
      <c r="E17" s="194"/>
      <c r="F17" s="194"/>
      <c r="G17" s="194"/>
      <c r="H17" s="194"/>
      <c r="I17" s="194"/>
      <c r="J17" s="194"/>
      <c r="K17" s="194"/>
      <c r="L17" s="194"/>
      <c r="M17" s="194"/>
      <c r="N17" s="256">
        <f t="shared" si="0"/>
        <v>1</v>
      </c>
      <c r="O17"/>
    </row>
    <row r="18" spans="1:15" ht="12.75">
      <c r="A18" s="261" t="str">
        <f>' FY07_09 Detailed  Budget '!A26</f>
        <v>2.2 Sockeye Data Inventory</v>
      </c>
      <c r="B18" s="199">
        <v>0.2</v>
      </c>
      <c r="C18" s="199">
        <v>0.2</v>
      </c>
      <c r="D18" s="199">
        <v>0.2</v>
      </c>
      <c r="E18" s="199">
        <v>0.1</v>
      </c>
      <c r="F18" s="199">
        <v>0.1</v>
      </c>
      <c r="G18" s="199">
        <v>0.1</v>
      </c>
      <c r="H18" s="199">
        <v>0.1</v>
      </c>
      <c r="I18" s="194"/>
      <c r="J18" s="194"/>
      <c r="K18" s="194"/>
      <c r="L18" s="194"/>
      <c r="M18" s="194"/>
      <c r="N18" s="256">
        <f t="shared" si="0"/>
        <v>1</v>
      </c>
      <c r="O18"/>
    </row>
    <row r="19" spans="1:15" ht="12" customHeight="1">
      <c r="A19" s="261">
        <f>' FY07_09 Detailed  Budget '!A27</f>
        <v>0</v>
      </c>
      <c r="B19" s="201"/>
      <c r="C19" s="201"/>
      <c r="D19" s="201"/>
      <c r="E19" s="201"/>
      <c r="F19" s="194"/>
      <c r="G19" s="199">
        <v>0.33</v>
      </c>
      <c r="H19" s="199">
        <v>0.33</v>
      </c>
      <c r="I19" s="199">
        <v>0.34</v>
      </c>
      <c r="J19" s="194"/>
      <c r="K19" s="194"/>
      <c r="L19" s="194"/>
      <c r="M19" s="194"/>
      <c r="N19" s="256">
        <f t="shared" si="0"/>
        <v>1</v>
      </c>
      <c r="O19"/>
    </row>
    <row r="20" spans="1:15" ht="12.75" hidden="1">
      <c r="A20" s="261"/>
      <c r="B20" s="194"/>
      <c r="C20" s="194"/>
      <c r="D20" s="194"/>
      <c r="E20" s="194"/>
      <c r="F20" s="194"/>
      <c r="G20" s="194"/>
      <c r="H20" s="194"/>
      <c r="I20" s="194"/>
      <c r="J20" s="194"/>
      <c r="K20" s="194"/>
      <c r="L20" s="194"/>
      <c r="M20" s="194"/>
      <c r="N20" s="256"/>
      <c r="O20"/>
    </row>
    <row r="21" spans="1:15" ht="12.75" hidden="1">
      <c r="A21" s="259" t="s">
        <v>136</v>
      </c>
      <c r="B21" s="194"/>
      <c r="C21" s="194"/>
      <c r="D21" s="194"/>
      <c r="E21" s="194"/>
      <c r="F21" s="194"/>
      <c r="G21" s="194"/>
      <c r="H21" s="194"/>
      <c r="I21" s="194"/>
      <c r="J21" s="194"/>
      <c r="K21" s="194"/>
      <c r="L21" s="194"/>
      <c r="M21" s="194"/>
      <c r="N21" s="256"/>
      <c r="O21"/>
    </row>
    <row r="22" spans="1:15" ht="12.75">
      <c r="A22" s="260"/>
      <c r="B22" s="194"/>
      <c r="C22" s="194"/>
      <c r="D22" s="194"/>
      <c r="E22" s="194"/>
      <c r="F22" s="194"/>
      <c r="G22" s="194"/>
      <c r="H22" s="194"/>
      <c r="I22" s="194"/>
      <c r="J22" s="194"/>
      <c r="K22" s="194"/>
      <c r="L22" s="194"/>
      <c r="M22" s="194"/>
      <c r="N22" s="256"/>
      <c r="O22"/>
    </row>
    <row r="23" spans="1:15" ht="12.75">
      <c r="A23" s="260" t="str">
        <f>' FY07_09 Detailed  Budget '!A31</f>
        <v>3. Organize subset of data into accessible form</v>
      </c>
      <c r="B23" s="194"/>
      <c r="C23" s="194"/>
      <c r="D23" s="194"/>
      <c r="E23" s="194"/>
      <c r="F23" s="194"/>
      <c r="G23" s="194"/>
      <c r="H23" s="194"/>
      <c r="I23" s="194"/>
      <c r="J23" s="194"/>
      <c r="K23" s="194"/>
      <c r="L23" s="194"/>
      <c r="M23" s="194"/>
      <c r="N23" s="256"/>
      <c r="O23"/>
    </row>
    <row r="24" spans="1:15" ht="12.75">
      <c r="A24" s="261" t="str">
        <f>' FY07_09 Detailed  Budget '!A32</f>
        <v>3.1   Continue to improve web-based metadata system, links to data</v>
      </c>
      <c r="B24" s="199">
        <v>0.1</v>
      </c>
      <c r="C24" s="199">
        <v>0.1</v>
      </c>
      <c r="D24" s="199">
        <v>0.1</v>
      </c>
      <c r="E24" s="199">
        <v>0.1</v>
      </c>
      <c r="F24" s="199">
        <v>0.05</v>
      </c>
      <c r="G24" s="199">
        <v>0.05</v>
      </c>
      <c r="H24" s="199">
        <v>0.05</v>
      </c>
      <c r="I24" s="199">
        <v>0.05</v>
      </c>
      <c r="J24" s="199">
        <v>0.1</v>
      </c>
      <c r="K24" s="199">
        <v>0.1</v>
      </c>
      <c r="L24" s="199">
        <v>0.1</v>
      </c>
      <c r="M24" s="199">
        <v>0.1</v>
      </c>
      <c r="N24" s="256">
        <f>SUM(B24:M24)</f>
        <v>1</v>
      </c>
      <c r="O24"/>
    </row>
    <row r="25" spans="1:15" ht="12.75">
      <c r="A25" s="261" t="str">
        <f>' FY07_09 Detailed  Budget '!A33</f>
        <v>3.2  CSMEP website improvement</v>
      </c>
      <c r="B25" s="199">
        <v>0.25</v>
      </c>
      <c r="C25" s="201"/>
      <c r="D25" s="201"/>
      <c r="E25" s="199">
        <v>0.25</v>
      </c>
      <c r="F25" s="201"/>
      <c r="G25" s="201"/>
      <c r="H25" s="199">
        <v>0.25</v>
      </c>
      <c r="I25" s="194"/>
      <c r="J25" s="194"/>
      <c r="K25" s="199">
        <v>0.25</v>
      </c>
      <c r="L25" s="194"/>
      <c r="M25" s="194"/>
      <c r="N25" s="256">
        <f t="shared" si="0"/>
        <v>1</v>
      </c>
      <c r="O25"/>
    </row>
    <row r="26" spans="1:15" ht="12.75">
      <c r="A26" s="261">
        <f>' FY07_09 Detailed  Budget '!A34</f>
        <v>0</v>
      </c>
      <c r="B26" s="199">
        <v>0.1</v>
      </c>
      <c r="C26" s="199">
        <v>0.1</v>
      </c>
      <c r="D26" s="199">
        <v>0.1</v>
      </c>
      <c r="E26" s="199">
        <v>0.1</v>
      </c>
      <c r="F26" s="199">
        <v>0.1</v>
      </c>
      <c r="G26" s="199">
        <v>0.1</v>
      </c>
      <c r="H26" s="199">
        <v>0.1</v>
      </c>
      <c r="I26" s="199">
        <v>0.1</v>
      </c>
      <c r="J26" s="199">
        <v>0.1</v>
      </c>
      <c r="K26" s="199">
        <v>0.1</v>
      </c>
      <c r="L26" s="194"/>
      <c r="M26" s="194"/>
      <c r="N26" s="256">
        <f t="shared" si="0"/>
        <v>0.9999999999999999</v>
      </c>
      <c r="O26"/>
    </row>
    <row r="27" spans="1:15" ht="0.75" customHeight="1" hidden="1">
      <c r="A27" s="255"/>
      <c r="B27" s="194"/>
      <c r="C27" s="194"/>
      <c r="D27" s="194"/>
      <c r="E27" s="194"/>
      <c r="F27" s="194"/>
      <c r="G27" s="194"/>
      <c r="H27" s="194"/>
      <c r="I27" s="194"/>
      <c r="J27" s="194"/>
      <c r="K27" s="194"/>
      <c r="L27" s="194"/>
      <c r="M27" s="194"/>
      <c r="N27" s="256"/>
      <c r="O27"/>
    </row>
    <row r="28" spans="1:15" ht="12.75" hidden="1">
      <c r="A28" s="259" t="s">
        <v>137</v>
      </c>
      <c r="B28" s="194"/>
      <c r="C28" s="194"/>
      <c r="D28" s="194"/>
      <c r="E28" s="194"/>
      <c r="F28" s="194"/>
      <c r="G28" s="194"/>
      <c r="H28" s="194"/>
      <c r="I28" s="194"/>
      <c r="J28" s="194"/>
      <c r="K28" s="194"/>
      <c r="L28" s="194"/>
      <c r="M28" s="194"/>
      <c r="N28" s="256">
        <f t="shared" si="0"/>
        <v>0</v>
      </c>
      <c r="O28"/>
    </row>
    <row r="29" spans="1:15" ht="12.75">
      <c r="A29" s="259"/>
      <c r="B29" s="194"/>
      <c r="C29" s="194"/>
      <c r="D29" s="194"/>
      <c r="E29" s="194"/>
      <c r="F29" s="194"/>
      <c r="G29" s="194"/>
      <c r="H29" s="194"/>
      <c r="I29" s="194"/>
      <c r="J29" s="194"/>
      <c r="K29" s="194"/>
      <c r="L29" s="194"/>
      <c r="M29" s="194"/>
      <c r="N29" s="256"/>
      <c r="O29"/>
    </row>
    <row r="30" spans="1:15" ht="12.75">
      <c r="A30" s="260" t="str">
        <f>' FY07_09 Detailed  Budget '!A38</f>
        <v>4. Evaluate ability to answer key questions with existing data </v>
      </c>
      <c r="B30" s="194"/>
      <c r="C30" s="194"/>
      <c r="D30" s="194"/>
      <c r="E30" s="194"/>
      <c r="F30" s="194"/>
      <c r="G30" s="194"/>
      <c r="H30" s="194"/>
      <c r="I30" s="194"/>
      <c r="J30" s="194"/>
      <c r="K30" s="194"/>
      <c r="L30" s="194"/>
      <c r="M30" s="194"/>
      <c r="N30" s="256"/>
      <c r="O30"/>
    </row>
    <row r="31" spans="1:15" ht="12.75">
      <c r="A31" s="255" t="str">
        <f>' FY07_09 Detailed  Budget '!A39</f>
        <v>4.1 Organization of existing data for Snake Basin pilot design</v>
      </c>
      <c r="B31" s="199">
        <v>0.13</v>
      </c>
      <c r="C31" s="199">
        <v>0.1</v>
      </c>
      <c r="D31" s="199">
        <v>0.06</v>
      </c>
      <c r="E31" s="199">
        <v>0.205</v>
      </c>
      <c r="F31" s="199">
        <v>0.205</v>
      </c>
      <c r="G31" s="199">
        <v>0.1</v>
      </c>
      <c r="H31" s="199">
        <v>0.1</v>
      </c>
      <c r="I31" s="199">
        <v>0.1</v>
      </c>
      <c r="J31" s="194"/>
      <c r="K31" s="194"/>
      <c r="L31" s="194"/>
      <c r="M31" s="194"/>
      <c r="N31" s="256">
        <f t="shared" si="0"/>
        <v>0.9999999999999999</v>
      </c>
      <c r="O31"/>
    </row>
    <row r="32" spans="1:15" ht="12.75">
      <c r="A32" s="255" t="str">
        <f>' FY07_09 Detailed  Budget '!A40</f>
        <v>4.2 Organization of existing data for OR pilot design</v>
      </c>
      <c r="B32" s="199">
        <v>0.13</v>
      </c>
      <c r="C32" s="199">
        <v>0.1</v>
      </c>
      <c r="D32" s="199">
        <v>0.06</v>
      </c>
      <c r="E32" s="199">
        <v>0.205</v>
      </c>
      <c r="F32" s="199">
        <v>0.205</v>
      </c>
      <c r="G32" s="199">
        <v>0.1</v>
      </c>
      <c r="H32" s="199">
        <v>0.1</v>
      </c>
      <c r="I32" s="199">
        <v>0.1</v>
      </c>
      <c r="J32" s="194"/>
      <c r="K32" s="194"/>
      <c r="L32" s="194"/>
      <c r="M32" s="194"/>
      <c r="N32" s="256">
        <f t="shared" si="0"/>
        <v>0.9999999999999999</v>
      </c>
      <c r="O32"/>
    </row>
    <row r="33" spans="1:15" ht="12.75">
      <c r="A33" s="255" t="str">
        <f>' FY07_09 Detailed  Budget '!A41</f>
        <v>4.3 Organization of existing data for WA pilot design</v>
      </c>
      <c r="B33" s="199">
        <v>0.13</v>
      </c>
      <c r="C33" s="199">
        <v>0.1</v>
      </c>
      <c r="D33" s="199">
        <v>0.06</v>
      </c>
      <c r="E33" s="199">
        <v>0.205</v>
      </c>
      <c r="F33" s="199">
        <v>0.205</v>
      </c>
      <c r="G33" s="199">
        <v>0.1</v>
      </c>
      <c r="H33" s="199">
        <v>0.1</v>
      </c>
      <c r="I33" s="199">
        <v>0.1</v>
      </c>
      <c r="J33" s="194"/>
      <c r="K33" s="194"/>
      <c r="L33" s="194"/>
      <c r="M33" s="194"/>
      <c r="N33" s="256">
        <f t="shared" si="0"/>
        <v>0.9999999999999999</v>
      </c>
      <c r="O33"/>
    </row>
    <row r="34" spans="1:15" ht="12" customHeight="1">
      <c r="A34" s="255">
        <f>' FY07_09 Detailed  Budget '!A42</f>
        <v>0</v>
      </c>
      <c r="B34" s="199">
        <v>0.13</v>
      </c>
      <c r="C34" s="199">
        <v>0.1</v>
      </c>
      <c r="D34" s="199">
        <v>0.06</v>
      </c>
      <c r="E34" s="199">
        <v>0.205</v>
      </c>
      <c r="F34" s="199">
        <v>0.205</v>
      </c>
      <c r="G34" s="199">
        <v>0.1</v>
      </c>
      <c r="H34" s="199">
        <v>0.1</v>
      </c>
      <c r="I34" s="199">
        <v>0.1</v>
      </c>
      <c r="J34" s="201"/>
      <c r="K34" s="201"/>
      <c r="L34" s="201"/>
      <c r="M34" s="201"/>
      <c r="N34" s="256">
        <f t="shared" si="0"/>
        <v>0.9999999999999999</v>
      </c>
      <c r="O34"/>
    </row>
    <row r="35" spans="1:15" ht="12.75" hidden="1">
      <c r="A35" s="255"/>
      <c r="B35" s="194"/>
      <c r="C35" s="194"/>
      <c r="D35" s="194"/>
      <c r="E35" s="194"/>
      <c r="F35" s="194"/>
      <c r="G35" s="194"/>
      <c r="H35" s="194"/>
      <c r="I35" s="194"/>
      <c r="J35" s="194"/>
      <c r="K35" s="194"/>
      <c r="L35" s="194"/>
      <c r="M35" s="194"/>
      <c r="N35" s="256"/>
      <c r="O35"/>
    </row>
    <row r="36" spans="1:15" ht="12.75" hidden="1">
      <c r="A36" s="259" t="s">
        <v>147</v>
      </c>
      <c r="B36" s="194"/>
      <c r="C36" s="194"/>
      <c r="D36" s="194"/>
      <c r="E36" s="194"/>
      <c r="F36" s="194"/>
      <c r="G36" s="194"/>
      <c r="H36" s="194"/>
      <c r="I36" s="194"/>
      <c r="J36" s="194"/>
      <c r="K36" s="194"/>
      <c r="L36" s="194"/>
      <c r="M36" s="194"/>
      <c r="N36" s="256">
        <f t="shared" si="0"/>
        <v>0</v>
      </c>
      <c r="O36"/>
    </row>
    <row r="37" spans="1:14" ht="12.75">
      <c r="A37" s="259"/>
      <c r="B37" s="195"/>
      <c r="C37" s="195"/>
      <c r="D37" s="195"/>
      <c r="E37" s="195"/>
      <c r="F37" s="195"/>
      <c r="G37" s="195"/>
      <c r="H37" s="195"/>
      <c r="I37" s="195"/>
      <c r="J37" s="195"/>
      <c r="K37" s="195"/>
      <c r="L37" s="195"/>
      <c r="M37" s="195"/>
      <c r="N37" s="256"/>
    </row>
    <row r="38" spans="1:14" ht="12.75">
      <c r="A38" s="260" t="str">
        <f>' FY07_09 Detailed  Budget '!A46</f>
        <v>5. Collaborative monitoring program design </v>
      </c>
      <c r="B38" s="202"/>
      <c r="C38" s="202"/>
      <c r="D38" s="202"/>
      <c r="E38" s="202"/>
      <c r="F38" s="202"/>
      <c r="G38" s="202"/>
      <c r="H38" s="202"/>
      <c r="I38" s="202"/>
      <c r="J38" s="202"/>
      <c r="K38" s="202"/>
      <c r="L38" s="202"/>
      <c r="M38" s="202"/>
      <c r="N38" s="256"/>
    </row>
    <row r="39" spans="1:14" ht="12.75">
      <c r="A39" s="255" t="str">
        <f>' FY07_09 Detailed  Budget '!A47</f>
        <v>5.1  Consolidate Snake River Pilot M&amp;E design and PrOACT tradeoff analysis</v>
      </c>
      <c r="B39" s="200">
        <v>0.2</v>
      </c>
      <c r="C39" s="200">
        <v>0.2</v>
      </c>
      <c r="D39" s="200">
        <v>0.2</v>
      </c>
      <c r="E39" s="200">
        <v>0.2</v>
      </c>
      <c r="F39" s="200">
        <v>0.2</v>
      </c>
      <c r="G39" s="303"/>
      <c r="H39" s="202"/>
      <c r="I39" s="202"/>
      <c r="J39" s="202"/>
      <c r="K39" s="202"/>
      <c r="L39" s="202"/>
      <c r="M39" s="202"/>
      <c r="N39" s="256">
        <f t="shared" si="0"/>
        <v>1</v>
      </c>
    </row>
    <row r="40" spans="1:14" ht="12.75">
      <c r="A40" s="255" t="str">
        <f>' FY07_09 Detailed  Budget '!A48</f>
        <v>5.2 Convert SRB into practical plan for Salmon basin pilot (later OR and WA)</v>
      </c>
      <c r="E40" s="200">
        <v>0.2</v>
      </c>
      <c r="F40" s="200">
        <v>0.2</v>
      </c>
      <c r="G40" s="200">
        <v>0.2</v>
      </c>
      <c r="H40" s="200">
        <v>0.2</v>
      </c>
      <c r="I40" s="200">
        <v>0.05</v>
      </c>
      <c r="J40" s="200">
        <v>0.05</v>
      </c>
      <c r="K40" s="200">
        <v>0.1</v>
      </c>
      <c r="L40" s="303"/>
      <c r="M40" s="303"/>
      <c r="N40" s="256">
        <f>SUM(E40:M40)</f>
        <v>1.0000000000000002</v>
      </c>
    </row>
    <row r="41" spans="1:14" ht="12.75">
      <c r="A41" s="255" t="str">
        <f>' FY07_09 Detailed  Budget '!A49</f>
        <v>5.3  DQO work -&gt; M&amp;E Tools for other subbasins in CRB / Marketing</v>
      </c>
      <c r="B41" s="303"/>
      <c r="C41" s="303"/>
      <c r="D41" s="303"/>
      <c r="E41" s="303"/>
      <c r="F41" s="200">
        <v>0.1</v>
      </c>
      <c r="G41" s="200">
        <v>0.1</v>
      </c>
      <c r="H41" s="200">
        <v>0.1</v>
      </c>
      <c r="I41" s="200">
        <v>0.1</v>
      </c>
      <c r="J41" s="200">
        <v>0.1</v>
      </c>
      <c r="K41" s="304">
        <v>0.1</v>
      </c>
      <c r="L41" s="304">
        <v>0.2</v>
      </c>
      <c r="M41" s="304">
        <v>0.2</v>
      </c>
      <c r="N41" s="256">
        <f>SUM(B41:M41)</f>
        <v>1</v>
      </c>
    </row>
    <row r="42" spans="1:14" ht="12.75">
      <c r="A42" s="255" t="str">
        <f>' FY07_09 Detailed  Budget '!A50</f>
        <v>5.4 Feed M&amp;E results into NPCC Rolling Provincial Review Process</v>
      </c>
      <c r="B42" s="200">
        <v>0.1</v>
      </c>
      <c r="C42" s="200">
        <v>0.1</v>
      </c>
      <c r="D42" s="200">
        <v>0.1</v>
      </c>
      <c r="E42" s="200">
        <v>0.1</v>
      </c>
      <c r="F42" s="200">
        <v>0.1</v>
      </c>
      <c r="G42" s="200">
        <v>0.1</v>
      </c>
      <c r="H42" s="200">
        <v>0.1</v>
      </c>
      <c r="I42" s="200">
        <v>0.1</v>
      </c>
      <c r="J42" s="200">
        <v>0.1</v>
      </c>
      <c r="K42" s="200">
        <v>0.1</v>
      </c>
      <c r="L42" s="303"/>
      <c r="M42" s="303"/>
      <c r="N42" s="256">
        <f t="shared" si="0"/>
        <v>0.9999999999999999</v>
      </c>
    </row>
    <row r="43" spans="1:14" ht="12" customHeight="1">
      <c r="A43" s="255" t="str">
        <f>' FY07_09 Detailed  Budget '!A51</f>
        <v>5.5  Get feedback from CRB entities on various M&amp;E designs</v>
      </c>
      <c r="B43" s="200">
        <v>0.05</v>
      </c>
      <c r="C43" s="200">
        <v>0.1</v>
      </c>
      <c r="D43" s="200">
        <v>0.05</v>
      </c>
      <c r="E43" s="200">
        <v>0.1</v>
      </c>
      <c r="F43" s="200">
        <v>0.05</v>
      </c>
      <c r="G43" s="200">
        <v>0.1</v>
      </c>
      <c r="H43" s="200">
        <v>0.05</v>
      </c>
      <c r="I43" s="200">
        <v>0.1</v>
      </c>
      <c r="J43" s="200">
        <v>0.1</v>
      </c>
      <c r="K43" s="200">
        <v>0.1</v>
      </c>
      <c r="L43" s="200">
        <v>0.1</v>
      </c>
      <c r="M43" s="200">
        <v>0.1</v>
      </c>
      <c r="N43" s="256">
        <f t="shared" si="0"/>
        <v>1</v>
      </c>
    </row>
    <row r="44" spans="1:14" ht="12.75" hidden="1">
      <c r="A44" s="255"/>
      <c r="B44" s="195"/>
      <c r="C44" s="195"/>
      <c r="D44" s="195"/>
      <c r="E44" s="195"/>
      <c r="F44" s="195"/>
      <c r="G44" s="195"/>
      <c r="H44" s="195"/>
      <c r="I44" s="195"/>
      <c r="J44" s="195"/>
      <c r="K44" s="195"/>
      <c r="L44" s="195"/>
      <c r="M44" s="195"/>
      <c r="N44" s="256"/>
    </row>
    <row r="45" spans="1:14" ht="12.75" hidden="1">
      <c r="A45" s="259" t="s">
        <v>90</v>
      </c>
      <c r="B45" s="195"/>
      <c r="C45" s="195"/>
      <c r="D45" s="195"/>
      <c r="E45" s="195"/>
      <c r="F45" s="195"/>
      <c r="G45" s="195"/>
      <c r="H45" s="195"/>
      <c r="I45" s="195"/>
      <c r="J45" s="195"/>
      <c r="K45" s="195"/>
      <c r="L45" s="195"/>
      <c r="M45" s="195"/>
      <c r="N45" s="256">
        <f t="shared" si="0"/>
        <v>0</v>
      </c>
    </row>
    <row r="46" spans="1:14" ht="12.75">
      <c r="A46" s="259"/>
      <c r="B46" s="195"/>
      <c r="C46" s="195"/>
      <c r="D46" s="195"/>
      <c r="E46" s="195"/>
      <c r="F46" s="195"/>
      <c r="G46" s="195"/>
      <c r="H46" s="195"/>
      <c r="I46" s="195"/>
      <c r="J46" s="195"/>
      <c r="K46" s="195"/>
      <c r="L46" s="195"/>
      <c r="M46" s="195"/>
      <c r="N46" s="256"/>
    </row>
    <row r="47" spans="1:14" ht="12.75">
      <c r="A47" s="259" t="str">
        <f>' FY07_09 Detailed  Budget '!A55</f>
        <v>6. Multi-agency implementation of monitoring programs.</v>
      </c>
      <c r="B47" s="195"/>
      <c r="C47" s="195"/>
      <c r="D47" s="195"/>
      <c r="E47" s="195"/>
      <c r="F47" s="195"/>
      <c r="G47" s="195"/>
      <c r="H47" s="195"/>
      <c r="I47" s="195"/>
      <c r="J47" s="195"/>
      <c r="K47" s="195"/>
      <c r="L47" s="195"/>
      <c r="M47" s="195"/>
      <c r="N47" s="256"/>
    </row>
    <row r="48" spans="1:14" ht="12" customHeight="1">
      <c r="A48" s="262" t="str">
        <f>' FY07_09 Detailed  Budget '!A56</f>
        <v>6.1 Develop broad conceptual plan for M&amp;E implementation across CRB</v>
      </c>
      <c r="B48" s="304">
        <v>0.1</v>
      </c>
      <c r="C48" s="304">
        <v>0.1</v>
      </c>
      <c r="D48" s="304">
        <v>0.05</v>
      </c>
      <c r="E48" s="304">
        <v>0.05</v>
      </c>
      <c r="F48" s="304">
        <v>0.05</v>
      </c>
      <c r="G48" s="304">
        <v>0.05</v>
      </c>
      <c r="H48" s="304">
        <v>0.1</v>
      </c>
      <c r="I48" s="304">
        <v>0.1</v>
      </c>
      <c r="J48" s="304">
        <v>0.1</v>
      </c>
      <c r="K48" s="304">
        <v>0.1</v>
      </c>
      <c r="L48" s="304">
        <v>0.1</v>
      </c>
      <c r="M48" s="200">
        <v>0.1</v>
      </c>
      <c r="N48" s="256">
        <f t="shared" si="0"/>
        <v>0.9999999999999999</v>
      </c>
    </row>
    <row r="49" spans="1:14" ht="12.75" hidden="1">
      <c r="A49" s="259"/>
      <c r="B49" s="195"/>
      <c r="C49" s="195"/>
      <c r="D49" s="195"/>
      <c r="E49" s="195"/>
      <c r="F49" s="195"/>
      <c r="G49" s="195"/>
      <c r="H49" s="195"/>
      <c r="I49" s="195"/>
      <c r="J49" s="195"/>
      <c r="K49" s="195"/>
      <c r="L49" s="195"/>
      <c r="M49" s="195"/>
      <c r="N49" s="256"/>
    </row>
    <row r="50" spans="1:14" ht="3.75" customHeight="1" hidden="1">
      <c r="A50" s="259" t="s">
        <v>6</v>
      </c>
      <c r="B50" s="195"/>
      <c r="C50" s="195"/>
      <c r="D50" s="195"/>
      <c r="E50" s="195"/>
      <c r="F50" s="195"/>
      <c r="G50" s="195"/>
      <c r="H50" s="195"/>
      <c r="I50" s="195"/>
      <c r="J50" s="195"/>
      <c r="K50" s="195"/>
      <c r="L50" s="195"/>
      <c r="M50" s="195"/>
      <c r="N50" s="256">
        <f t="shared" si="0"/>
        <v>0</v>
      </c>
    </row>
    <row r="51" spans="1:14" ht="12.75">
      <c r="A51" s="259"/>
      <c r="B51" s="195"/>
      <c r="C51" s="195"/>
      <c r="D51" s="195"/>
      <c r="E51" s="195"/>
      <c r="F51" s="195"/>
      <c r="G51" s="195"/>
      <c r="H51" s="195"/>
      <c r="I51" s="195"/>
      <c r="J51" s="195"/>
      <c r="K51" s="195"/>
      <c r="L51" s="195"/>
      <c r="M51" s="195"/>
      <c r="N51" s="256"/>
    </row>
    <row r="52" spans="1:14" ht="12.75">
      <c r="A52" s="259" t="str">
        <f>' FY07_09 Detailed  Budget '!A60</f>
        <v>7. Multi-agency evaluation of results of new monitoring pgms.</v>
      </c>
      <c r="B52" s="195"/>
      <c r="C52" s="195"/>
      <c r="D52" s="195"/>
      <c r="E52" s="195"/>
      <c r="F52" s="195"/>
      <c r="G52" s="195"/>
      <c r="H52" s="195"/>
      <c r="I52" s="195"/>
      <c r="J52" s="195"/>
      <c r="K52" s="195"/>
      <c r="L52" s="195"/>
      <c r="M52" s="195"/>
      <c r="N52" s="256"/>
    </row>
    <row r="53" spans="1:14" ht="12.75">
      <c r="A53" s="365" t="str">
        <f>CONCATENATE(' FY07_09 Detailed  Budget '!A61,' FY07_09 Detailed  Budget '!A62)</f>
        <v>7.1 Collaborative review of federal RME projects, WA SRFB Effectiveness Monitoring Projects, and other recent pilot projects</v>
      </c>
      <c r="B53" s="304">
        <v>0.05</v>
      </c>
      <c r="C53" s="304">
        <v>0.05</v>
      </c>
      <c r="D53" s="304">
        <v>0.05</v>
      </c>
      <c r="E53" s="304">
        <v>0.1</v>
      </c>
      <c r="F53" s="304">
        <v>0.2</v>
      </c>
      <c r="G53" s="304">
        <v>0.1</v>
      </c>
      <c r="H53" s="304">
        <v>0.1</v>
      </c>
      <c r="I53" s="304">
        <v>0.05</v>
      </c>
      <c r="J53" s="304">
        <v>0.05</v>
      </c>
      <c r="K53" s="304">
        <v>0.05</v>
      </c>
      <c r="L53" s="304">
        <v>0.1</v>
      </c>
      <c r="M53" s="200">
        <v>0.1</v>
      </c>
      <c r="N53" s="256">
        <f t="shared" si="0"/>
        <v>1.0000000000000002</v>
      </c>
    </row>
    <row r="54" spans="1:14" ht="11.25" customHeight="1" hidden="1">
      <c r="A54" s="365"/>
      <c r="B54" s="195"/>
      <c r="C54" s="195"/>
      <c r="D54" s="195"/>
      <c r="E54" s="195"/>
      <c r="F54" s="195"/>
      <c r="G54" s="195"/>
      <c r="H54" s="195"/>
      <c r="I54" s="195"/>
      <c r="J54" s="195"/>
      <c r="K54" s="195"/>
      <c r="L54" s="195"/>
      <c r="M54" s="195"/>
      <c r="N54" s="263">
        <f t="shared" si="0"/>
        <v>0</v>
      </c>
    </row>
    <row r="55" spans="1:14" ht="12.75" hidden="1">
      <c r="A55" s="262"/>
      <c r="B55" s="195"/>
      <c r="C55" s="195"/>
      <c r="D55" s="195"/>
      <c r="E55" s="195"/>
      <c r="F55" s="195"/>
      <c r="G55" s="195"/>
      <c r="H55" s="195"/>
      <c r="I55" s="195"/>
      <c r="J55" s="195"/>
      <c r="K55" s="195"/>
      <c r="L55" s="195"/>
      <c r="M55" s="195"/>
      <c r="N55" s="264"/>
    </row>
    <row r="56" spans="1:14" ht="12.75" hidden="1">
      <c r="A56" s="259" t="s">
        <v>10</v>
      </c>
      <c r="B56" s="195"/>
      <c r="C56" s="195"/>
      <c r="D56" s="195"/>
      <c r="E56" s="195"/>
      <c r="F56" s="195"/>
      <c r="G56" s="195"/>
      <c r="H56" s="195"/>
      <c r="I56" s="195"/>
      <c r="J56" s="195"/>
      <c r="K56" s="195"/>
      <c r="L56" s="195"/>
      <c r="M56" s="195"/>
      <c r="N56" s="263">
        <f t="shared" si="0"/>
        <v>0</v>
      </c>
    </row>
    <row r="57" spans="1:14" ht="12.75" hidden="1">
      <c r="A57" s="251"/>
      <c r="B57" s="195"/>
      <c r="C57" s="195"/>
      <c r="D57" s="195"/>
      <c r="E57" s="195"/>
      <c r="F57" s="195"/>
      <c r="G57" s="195"/>
      <c r="H57" s="195"/>
      <c r="I57" s="195"/>
      <c r="J57" s="195"/>
      <c r="K57" s="195"/>
      <c r="L57" s="195"/>
      <c r="M57" s="195"/>
      <c r="N57" s="264"/>
    </row>
    <row r="58" spans="1:14" ht="12.75" hidden="1">
      <c r="A58" s="251" t="s">
        <v>110</v>
      </c>
      <c r="B58" s="195"/>
      <c r="C58" s="195"/>
      <c r="D58" s="195"/>
      <c r="E58" s="195"/>
      <c r="F58" s="195"/>
      <c r="G58" s="195"/>
      <c r="H58" s="195"/>
      <c r="I58" s="195"/>
      <c r="J58" s="195"/>
      <c r="K58" s="195"/>
      <c r="L58" s="195"/>
      <c r="M58" s="195"/>
      <c r="N58" s="263">
        <f t="shared" si="0"/>
        <v>0</v>
      </c>
    </row>
    <row r="59" spans="1:14" ht="12.75" hidden="1">
      <c r="A59" s="251"/>
      <c r="B59" s="195"/>
      <c r="C59" s="195"/>
      <c r="D59" s="195"/>
      <c r="E59" s="195"/>
      <c r="F59" s="195"/>
      <c r="G59" s="195"/>
      <c r="H59" s="195"/>
      <c r="I59" s="195"/>
      <c r="J59" s="195"/>
      <c r="K59" s="195"/>
      <c r="L59" s="195"/>
      <c r="M59" s="195"/>
      <c r="N59" s="264"/>
    </row>
    <row r="60" spans="1:14" ht="12.75">
      <c r="A60" s="265"/>
      <c r="B60" s="266"/>
      <c r="C60" s="266"/>
      <c r="D60" s="266"/>
      <c r="E60" s="266"/>
      <c r="F60" s="266"/>
      <c r="G60" s="266"/>
      <c r="H60" s="266"/>
      <c r="I60" s="266"/>
      <c r="J60" s="266"/>
      <c r="K60" s="266"/>
      <c r="L60" s="266"/>
      <c r="M60" s="266"/>
      <c r="N60" s="267"/>
    </row>
  </sheetData>
  <mergeCells count="1">
    <mergeCell ref="A53:A54"/>
  </mergeCells>
  <printOptions/>
  <pageMargins left="0.75" right="0.75" top="1" bottom="1" header="0.5" footer="0.5"/>
  <pageSetup fitToHeight="1"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sheetPr>
    <pageSetUpPr fitToPage="1"/>
  </sheetPr>
  <dimension ref="A1:X64"/>
  <sheetViews>
    <sheetView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A4" sqref="A4"/>
    </sheetView>
  </sheetViews>
  <sheetFormatPr defaultColWidth="9.140625" defaultRowHeight="12.75"/>
  <cols>
    <col min="1" max="1" width="66.8515625" style="70" customWidth="1"/>
    <col min="2" max="2" width="10.140625" style="73" customWidth="1"/>
    <col min="3" max="3" width="10.7109375" style="73" customWidth="1"/>
    <col min="4" max="4" width="10.28125" style="73" customWidth="1"/>
    <col min="5" max="5" width="9.8515625" style="72" customWidth="1"/>
    <col min="6" max="6" width="9.421875" style="72" customWidth="1"/>
    <col min="7" max="7" width="11.28125" style="72" customWidth="1"/>
    <col min="8" max="8" width="10.7109375" style="72" customWidth="1"/>
    <col min="9" max="9" width="10.00390625" style="72" customWidth="1"/>
    <col min="10" max="10" width="10.421875" style="72" customWidth="1"/>
    <col min="11" max="11" width="9.8515625" style="73" customWidth="1"/>
    <col min="12" max="12" width="10.421875" style="73" customWidth="1"/>
    <col min="13" max="13" width="11.00390625" style="72" customWidth="1"/>
    <col min="14" max="14" width="11.28125" style="70" customWidth="1"/>
    <col min="15" max="15" width="12.8515625" style="70" customWidth="1"/>
    <col min="16" max="16" width="9.140625" style="70" customWidth="1"/>
    <col min="17" max="17" width="10.7109375" style="70" bestFit="1" customWidth="1"/>
    <col min="18" max="18" width="11.8515625" style="70" customWidth="1"/>
    <col min="19" max="16384" width="9.140625" style="70" customWidth="1"/>
  </cols>
  <sheetData>
    <row r="1" ht="18">
      <c r="A1" s="114" t="s">
        <v>334</v>
      </c>
    </row>
    <row r="2" spans="2:4" ht="15" thickBot="1">
      <c r="B2" s="71" t="s">
        <v>92</v>
      </c>
      <c r="C2" s="71"/>
      <c r="D2" s="71"/>
    </row>
    <row r="3" spans="1:15" ht="15.75" thickBot="1">
      <c r="A3" s="79"/>
      <c r="B3" s="80">
        <v>2005</v>
      </c>
      <c r="C3" s="76"/>
      <c r="D3" s="76"/>
      <c r="E3" s="81"/>
      <c r="F3" s="74"/>
      <c r="G3" s="74"/>
      <c r="H3" s="74"/>
      <c r="I3" s="75"/>
      <c r="J3" s="76">
        <v>2006</v>
      </c>
      <c r="K3" s="76"/>
      <c r="L3" s="76"/>
      <c r="M3" s="77"/>
      <c r="O3" s="88" t="s">
        <v>93</v>
      </c>
    </row>
    <row r="4" spans="1:17" ht="15" thickBot="1">
      <c r="A4" s="83" t="s">
        <v>124</v>
      </c>
      <c r="B4" s="84" t="s">
        <v>87</v>
      </c>
      <c r="C4" s="85" t="s">
        <v>88</v>
      </c>
      <c r="D4" s="86" t="s">
        <v>77</v>
      </c>
      <c r="E4" s="84" t="s">
        <v>78</v>
      </c>
      <c r="F4" s="85" t="s">
        <v>79</v>
      </c>
      <c r="G4" s="238" t="s">
        <v>80</v>
      </c>
      <c r="H4" s="84" t="s">
        <v>81</v>
      </c>
      <c r="I4" s="85" t="s">
        <v>82</v>
      </c>
      <c r="J4" s="238" t="s">
        <v>83</v>
      </c>
      <c r="K4" s="84" t="s">
        <v>84</v>
      </c>
      <c r="L4" s="85" t="s">
        <v>85</v>
      </c>
      <c r="M4" s="86" t="s">
        <v>86</v>
      </c>
      <c r="N4" s="78" t="s">
        <v>89</v>
      </c>
      <c r="O4" s="78" t="s">
        <v>94</v>
      </c>
      <c r="P4" s="88" t="s">
        <v>91</v>
      </c>
      <c r="Q4" s="88"/>
    </row>
    <row r="5" spans="1:16" ht="12.75">
      <c r="A5" s="82"/>
      <c r="B5" s="219"/>
      <c r="C5" s="220"/>
      <c r="D5" s="239"/>
      <c r="E5" s="219"/>
      <c r="F5" s="220"/>
      <c r="G5" s="239"/>
      <c r="H5" s="219"/>
      <c r="I5" s="220"/>
      <c r="J5" s="239"/>
      <c r="K5" s="219"/>
      <c r="L5" s="220"/>
      <c r="M5" s="221"/>
      <c r="N5" s="87"/>
      <c r="O5" s="87"/>
      <c r="P5" s="89"/>
    </row>
    <row r="6" spans="1:14" ht="13.5" customHeight="1">
      <c r="A6" s="82" t="s">
        <v>102</v>
      </c>
      <c r="B6" s="222">
        <f>'Schedule FY07'!B6*' FY07_09 Detailed  Budget '!$AD$22</f>
        <v>10893.735375317927</v>
      </c>
      <c r="C6" s="217">
        <f>'Schedule FY07'!C6*' FY07_09 Detailed  Budget '!$AD$22</f>
        <v>10893.735375317927</v>
      </c>
      <c r="D6" s="240">
        <f>'Schedule FY07'!D6*' FY07_09 Detailed  Budget '!$AD$22</f>
        <v>10893.735375317927</v>
      </c>
      <c r="E6" s="222">
        <f>'Schedule FY07'!E6*' FY07_09 Detailed  Budget '!$AD$22</f>
        <v>10893.735375317927</v>
      </c>
      <c r="F6" s="217">
        <f>'Schedule FY07'!F6*' FY07_09 Detailed  Budget '!$AD$22</f>
        <v>10893.735375317927</v>
      </c>
      <c r="G6" s="240">
        <f>'Schedule FY07'!G6*' FY07_09 Detailed  Budget '!$AD$22</f>
        <v>10893.735375317927</v>
      </c>
      <c r="H6" s="222">
        <f>'Schedule FY07'!H6*' FY07_09 Detailed  Budget '!$AD$22</f>
        <v>10893.735375317927</v>
      </c>
      <c r="I6" s="217">
        <f>'Schedule FY07'!I6*' FY07_09 Detailed  Budget '!$AD$22</f>
        <v>10893.735375317927</v>
      </c>
      <c r="J6" s="240">
        <f>'Schedule FY07'!J6*' FY07_09 Detailed  Budget '!$AD$22</f>
        <v>21787.470750635854</v>
      </c>
      <c r="K6" s="222">
        <f>'Schedule FY07'!K6*' FY07_09 Detailed  Budget '!$AD$22</f>
        <v>21787.470750635854</v>
      </c>
      <c r="L6" s="217">
        <f>'Schedule FY07'!L6*' FY07_09 Detailed  Budget '!$AD$22</f>
        <v>43574.94150127171</v>
      </c>
      <c r="M6" s="218">
        <f>'Schedule FY07'!M6*' FY07_09 Detailed  Budget '!$AD$22</f>
        <v>43574.94150127171</v>
      </c>
      <c r="N6" s="87">
        <f>SUM(B6:M6)</f>
        <v>217874.70750635854</v>
      </c>
    </row>
    <row r="7" spans="1:14" ht="12.75">
      <c r="A7" s="68" t="s">
        <v>55</v>
      </c>
      <c r="B7" s="222"/>
      <c r="C7" s="217"/>
      <c r="D7" s="240"/>
      <c r="E7" s="222"/>
      <c r="F7" s="217"/>
      <c r="G7" s="240"/>
      <c r="H7" s="222"/>
      <c r="I7" s="217"/>
      <c r="J7" s="240"/>
      <c r="K7" s="222"/>
      <c r="L7" s="217"/>
      <c r="M7" s="218"/>
      <c r="N7" s="87">
        <f aca="true" t="shared" si="0" ref="N7:N57">SUM(B7:M7)</f>
        <v>0</v>
      </c>
    </row>
    <row r="8" spans="1:14" ht="12.75">
      <c r="A8" s="68" t="s">
        <v>53</v>
      </c>
      <c r="B8" s="222"/>
      <c r="C8" s="217"/>
      <c r="D8" s="240"/>
      <c r="E8" s="222"/>
      <c r="F8" s="217"/>
      <c r="G8" s="240"/>
      <c r="H8" s="222"/>
      <c r="I8" s="217"/>
      <c r="J8" s="240"/>
      <c r="K8" s="222"/>
      <c r="L8" s="217"/>
      <c r="M8" s="218"/>
      <c r="N8" s="87">
        <f t="shared" si="0"/>
        <v>0</v>
      </c>
    </row>
    <row r="9" spans="1:16" ht="12.75">
      <c r="A9" s="68" t="s">
        <v>178</v>
      </c>
      <c r="B9" s="223"/>
      <c r="C9" s="224"/>
      <c r="D9" s="241"/>
      <c r="E9" s="223"/>
      <c r="F9" s="224"/>
      <c r="G9" s="241"/>
      <c r="H9" s="223"/>
      <c r="I9" s="224"/>
      <c r="J9" s="241"/>
      <c r="K9" s="223"/>
      <c r="L9" s="224"/>
      <c r="M9" s="225"/>
      <c r="N9" s="87">
        <f t="shared" si="0"/>
        <v>0</v>
      </c>
      <c r="O9" s="87"/>
      <c r="P9" s="89"/>
    </row>
    <row r="10" spans="1:16" ht="12.75">
      <c r="A10" s="68" t="s">
        <v>15</v>
      </c>
      <c r="B10" s="223"/>
      <c r="C10" s="224"/>
      <c r="D10" s="241"/>
      <c r="E10" s="223"/>
      <c r="F10" s="224"/>
      <c r="G10" s="241"/>
      <c r="H10" s="223"/>
      <c r="I10" s="224"/>
      <c r="J10" s="241"/>
      <c r="K10" s="223"/>
      <c r="L10" s="224"/>
      <c r="M10" s="225"/>
      <c r="N10" s="87">
        <f t="shared" si="0"/>
        <v>0</v>
      </c>
      <c r="O10" s="87"/>
      <c r="P10" s="89"/>
    </row>
    <row r="11" spans="1:20" ht="12.75">
      <c r="A11" s="68" t="s">
        <v>60</v>
      </c>
      <c r="B11" s="223"/>
      <c r="C11" s="224"/>
      <c r="D11" s="241"/>
      <c r="E11" s="223"/>
      <c r="F11" s="224"/>
      <c r="G11" s="241"/>
      <c r="H11" s="223"/>
      <c r="I11" s="224"/>
      <c r="J11" s="241"/>
      <c r="K11" s="223"/>
      <c r="L11" s="224"/>
      <c r="M11" s="225"/>
      <c r="N11" s="87">
        <f t="shared" si="0"/>
        <v>0</v>
      </c>
      <c r="O11" s="87"/>
      <c r="P11" s="273" t="s">
        <v>175</v>
      </c>
      <c r="Q11" s="272" t="s">
        <v>177</v>
      </c>
      <c r="R11" s="272" t="s">
        <v>173</v>
      </c>
      <c r="S11" s="272" t="s">
        <v>172</v>
      </c>
      <c r="T11" s="284" t="s">
        <v>174</v>
      </c>
    </row>
    <row r="12" spans="1:20" ht="12" customHeight="1">
      <c r="A12" s="68" t="s">
        <v>58</v>
      </c>
      <c r="B12" s="222"/>
      <c r="C12" s="217"/>
      <c r="D12" s="240"/>
      <c r="E12" s="222"/>
      <c r="F12" s="217"/>
      <c r="G12" s="240"/>
      <c r="H12" s="222"/>
      <c r="I12" s="217"/>
      <c r="J12" s="240"/>
      <c r="K12" s="222"/>
      <c r="L12" s="217"/>
      <c r="M12" s="218"/>
      <c r="N12" s="87">
        <f t="shared" si="0"/>
        <v>0</v>
      </c>
      <c r="P12" s="275" t="s">
        <v>165</v>
      </c>
      <c r="Q12" s="276">
        <f>SUM(N6:N12)</f>
        <v>217874.70750635854</v>
      </c>
      <c r="R12" s="277">
        <v>0.23137714791280609</v>
      </c>
      <c r="S12" s="278">
        <v>171</v>
      </c>
      <c r="T12" s="279">
        <v>0.19063545150501673</v>
      </c>
    </row>
    <row r="13" spans="1:24" ht="12.75" hidden="1">
      <c r="A13" s="68"/>
      <c r="B13" s="222"/>
      <c r="C13" s="217"/>
      <c r="D13" s="240"/>
      <c r="E13" s="222"/>
      <c r="F13" s="217"/>
      <c r="G13" s="240"/>
      <c r="H13" s="222"/>
      <c r="I13" s="217"/>
      <c r="J13" s="240"/>
      <c r="K13" s="222"/>
      <c r="L13" s="217"/>
      <c r="M13" s="218"/>
      <c r="N13" s="87">
        <f t="shared" si="0"/>
        <v>0</v>
      </c>
      <c r="P13" s="275"/>
      <c r="Q13" s="278"/>
      <c r="R13" s="277">
        <v>0</v>
      </c>
      <c r="S13" s="278"/>
      <c r="T13" s="279">
        <v>0</v>
      </c>
      <c r="X13" s="70">
        <v>968000</v>
      </c>
    </row>
    <row r="14" spans="1:20" ht="12.75" hidden="1">
      <c r="A14" s="4" t="s">
        <v>135</v>
      </c>
      <c r="B14" s="222"/>
      <c r="C14" s="217"/>
      <c r="D14" s="240"/>
      <c r="E14" s="222"/>
      <c r="F14" s="217"/>
      <c r="G14" s="240"/>
      <c r="H14" s="222"/>
      <c r="I14" s="217"/>
      <c r="J14" s="242"/>
      <c r="K14" s="222"/>
      <c r="L14" s="217"/>
      <c r="M14" s="218"/>
      <c r="N14" s="87">
        <f t="shared" si="0"/>
        <v>0</v>
      </c>
      <c r="P14" s="275"/>
      <c r="Q14" s="278"/>
      <c r="R14" s="277">
        <v>0</v>
      </c>
      <c r="S14" s="278"/>
      <c r="T14" s="279">
        <v>0</v>
      </c>
    </row>
    <row r="15" spans="1:20" ht="12.75" customHeight="1">
      <c r="A15" s="4"/>
      <c r="B15" s="223"/>
      <c r="C15" s="224"/>
      <c r="D15" s="241"/>
      <c r="E15" s="223"/>
      <c r="F15" s="224"/>
      <c r="G15" s="241"/>
      <c r="H15" s="223"/>
      <c r="I15" s="224"/>
      <c r="J15" s="241"/>
      <c r="K15" s="223"/>
      <c r="L15" s="224"/>
      <c r="M15" s="225"/>
      <c r="N15" s="87">
        <f t="shared" si="0"/>
        <v>0</v>
      </c>
      <c r="O15" s="87"/>
      <c r="P15" s="275" t="s">
        <v>166</v>
      </c>
      <c r="Q15" s="276">
        <f>SUM(N16:N20)</f>
        <v>44099.93772295762</v>
      </c>
      <c r="R15" s="277">
        <v>0.15100263192231778</v>
      </c>
      <c r="S15" s="278">
        <v>167</v>
      </c>
      <c r="T15" s="279">
        <v>0.18617614269788182</v>
      </c>
    </row>
    <row r="16" spans="1:20" ht="12.75">
      <c r="A16" s="1" t="s">
        <v>125</v>
      </c>
      <c r="B16" s="223"/>
      <c r="C16" s="224"/>
      <c r="D16" s="241"/>
      <c r="E16" s="223"/>
      <c r="F16" s="224"/>
      <c r="G16" s="241"/>
      <c r="H16" s="223"/>
      <c r="I16" s="224"/>
      <c r="J16" s="241"/>
      <c r="K16" s="223"/>
      <c r="L16" s="224"/>
      <c r="M16" s="225"/>
      <c r="N16" s="87">
        <f t="shared" si="0"/>
        <v>0</v>
      </c>
      <c r="O16" s="87"/>
      <c r="P16" s="280" t="s">
        <v>167</v>
      </c>
      <c r="Q16" s="276">
        <f>SUM(N23:N27)</f>
        <v>32843.31787120752</v>
      </c>
      <c r="R16" s="277">
        <v>0.03925033367884839</v>
      </c>
      <c r="S16" s="278">
        <v>85</v>
      </c>
      <c r="T16" s="279">
        <v>0.0947603121516165</v>
      </c>
    </row>
    <row r="17" spans="1:20" ht="12.75">
      <c r="A17" s="6" t="s">
        <v>61</v>
      </c>
      <c r="B17" s="223">
        <f>' FY07_09 Detailed  Budget '!$AD$25*'Schedule FY07'!B17</f>
        <v>8594.810727657095</v>
      </c>
      <c r="C17" s="224">
        <f>' FY07_09 Detailed  Budget '!$AD$25*'Schedule FY07'!C17</f>
        <v>8594.810727657095</v>
      </c>
      <c r="D17" s="241">
        <f>' FY07_09 Detailed  Budget '!$AD$25*'Schedule FY07'!D17</f>
        <v>8855.259537586098</v>
      </c>
      <c r="E17" s="223">
        <f>' FY07_09 Detailed  Budget '!$AD$25*'Schedule FY07'!E17</f>
        <v>0</v>
      </c>
      <c r="F17" s="224">
        <f>' FY07_09 Detailed  Budget '!$AD$25*'Schedule FY07'!F17</f>
        <v>0</v>
      </c>
      <c r="G17" s="241">
        <f>' FY07_09 Detailed  Budget '!$AD$25*'Schedule FY07'!G17</f>
        <v>0</v>
      </c>
      <c r="H17" s="223">
        <f>' FY07_09 Detailed  Budget '!$AD$25*'Schedule FY07'!H17</f>
        <v>0</v>
      </c>
      <c r="I17" s="224">
        <f>' FY07_09 Detailed  Budget '!$AD$25*'Schedule FY07'!I17</f>
        <v>0</v>
      </c>
      <c r="J17" s="241">
        <f>' FY07_09 Detailed  Budget '!$AD$25*'Schedule FY07'!J17</f>
        <v>0</v>
      </c>
      <c r="K17" s="223">
        <f>' FY07_09 Detailed  Budget '!$AD$25*'Schedule FY07'!K17</f>
        <v>0</v>
      </c>
      <c r="L17" s="224">
        <f>' FY07_09 Detailed  Budget '!$AD$25*'Schedule FY07'!L17</f>
        <v>0</v>
      </c>
      <c r="M17" s="225">
        <f>' FY07_09 Detailed  Budget '!$AD$25*'Schedule FY07'!M17</f>
        <v>0</v>
      </c>
      <c r="N17" s="87">
        <f t="shared" si="0"/>
        <v>26044.88099290029</v>
      </c>
      <c r="O17" s="87"/>
      <c r="P17" s="281" t="s">
        <v>168</v>
      </c>
      <c r="Q17" s="276">
        <f>SUM(N31:N35)</f>
        <v>87287.86415135315</v>
      </c>
      <c r="R17" s="277">
        <v>0.18519732962170132</v>
      </c>
      <c r="S17" s="278">
        <v>73</v>
      </c>
      <c r="T17" s="279">
        <v>0.08138238573021182</v>
      </c>
    </row>
    <row r="18" spans="1:20" ht="12.75">
      <c r="A18" s="6" t="s">
        <v>23</v>
      </c>
      <c r="B18" s="223">
        <f>' FY07_09 Detailed  Budget '!$AD$26*'Schedule FY07'!B18</f>
        <v>3611.0113460114662</v>
      </c>
      <c r="C18" s="224">
        <f>' FY07_09 Detailed  Budget '!$AD$26*'Schedule FY07'!C18</f>
        <v>3611.0113460114662</v>
      </c>
      <c r="D18" s="241">
        <f>' FY07_09 Detailed  Budget '!$AD$26*'Schedule FY07'!D18</f>
        <v>3611.0113460114662</v>
      </c>
      <c r="E18" s="223">
        <f>' FY07_09 Detailed  Budget '!$AD$26*'Schedule FY07'!E18</f>
        <v>1805.5056730057331</v>
      </c>
      <c r="F18" s="224">
        <f>' FY07_09 Detailed  Budget '!$AD$26*'Schedule FY07'!F18</f>
        <v>1805.5056730057331</v>
      </c>
      <c r="G18" s="241">
        <f>' FY07_09 Detailed  Budget '!$AD$26*'Schedule FY07'!G18</f>
        <v>1805.5056730057331</v>
      </c>
      <c r="H18" s="223">
        <f>' FY07_09 Detailed  Budget '!$AD$26*'Schedule FY07'!H18</f>
        <v>1805.5056730057331</v>
      </c>
      <c r="I18" s="224">
        <f>' FY07_09 Detailed  Budget '!$AD$26*'Schedule FY07'!I18</f>
        <v>0</v>
      </c>
      <c r="J18" s="241">
        <f>' FY07_09 Detailed  Budget '!$AD$26*'Schedule FY07'!J18</f>
        <v>0</v>
      </c>
      <c r="K18" s="223">
        <f>' FY07_09 Detailed  Budget '!$AD$26*'Schedule FY07'!K18</f>
        <v>0</v>
      </c>
      <c r="L18" s="224">
        <f>' FY07_09 Detailed  Budget '!$AD$26*'Schedule FY07'!L18</f>
        <v>0</v>
      </c>
      <c r="M18" s="225">
        <f>' FY07_09 Detailed  Budget '!$AD$26*'Schedule FY07'!M18</f>
        <v>0</v>
      </c>
      <c r="N18" s="87">
        <f t="shared" si="0"/>
        <v>18055.05673005733</v>
      </c>
      <c r="P18" s="275" t="s">
        <v>169</v>
      </c>
      <c r="Q18" s="276">
        <f>SUM(N39:N43)</f>
        <v>450856.88915361895</v>
      </c>
      <c r="R18" s="277">
        <v>0.3227379145723371</v>
      </c>
      <c r="S18" s="282">
        <v>335</v>
      </c>
      <c r="T18" s="279">
        <v>0.3734671125975474</v>
      </c>
    </row>
    <row r="19" spans="1:20" ht="12" customHeight="1">
      <c r="A19" s="6" t="s">
        <v>62</v>
      </c>
      <c r="B19" s="223">
        <f>' FY07_09 Detailed  Budget '!$AD$27*'Schedule FY07'!B19</f>
        <v>0</v>
      </c>
      <c r="C19" s="224">
        <f>' FY07_09 Detailed  Budget '!$AD$27*'Schedule FY07'!C19</f>
        <v>0</v>
      </c>
      <c r="D19" s="241">
        <f>' FY07_09 Detailed  Budget '!$AD$27*'Schedule FY07'!D19</f>
        <v>0</v>
      </c>
      <c r="E19" s="223">
        <f>' FY07_09 Detailed  Budget '!$AD$27*'Schedule FY07'!E19</f>
        <v>0</v>
      </c>
      <c r="F19" s="224">
        <f>' FY07_09 Detailed  Budget '!$AD$27*'Schedule FY07'!F19</f>
        <v>0</v>
      </c>
      <c r="G19" s="241">
        <f>' FY07_09 Detailed  Budget '!$AD$27*'Schedule FY07'!G19</f>
        <v>0</v>
      </c>
      <c r="H19" s="223">
        <f>' FY07_09 Detailed  Budget '!$AD$27*'Schedule FY07'!H19</f>
        <v>0</v>
      </c>
      <c r="I19" s="224">
        <f>' FY07_09 Detailed  Budget '!$AD$27*'Schedule FY07'!I19</f>
        <v>0</v>
      </c>
      <c r="J19" s="241">
        <f>' FY07_09 Detailed  Budget '!$AD$27*'Schedule FY07'!J19</f>
        <v>0</v>
      </c>
      <c r="K19" s="223">
        <f>' FY07_09 Detailed  Budget '!$AD$27*'Schedule FY07'!K19</f>
        <v>0</v>
      </c>
      <c r="L19" s="224">
        <f>' FY07_09 Detailed  Budget '!$AD$27*'Schedule FY07'!L19</f>
        <v>0</v>
      </c>
      <c r="M19" s="225">
        <f>' FY07_09 Detailed  Budget '!$AD$27*'Schedule FY07'!M19</f>
        <v>0</v>
      </c>
      <c r="N19" s="87">
        <f t="shared" si="0"/>
        <v>0</v>
      </c>
      <c r="P19" s="275" t="s">
        <v>170</v>
      </c>
      <c r="Q19" s="276">
        <f>N47</f>
        <v>87241.33832161808</v>
      </c>
      <c r="R19" s="277">
        <v>0.03884623045460092</v>
      </c>
      <c r="S19" s="278">
        <v>30</v>
      </c>
      <c r="T19" s="279">
        <v>0.033444816053511704</v>
      </c>
    </row>
    <row r="20" spans="1:20" ht="12.75" hidden="1">
      <c r="A20" s="6"/>
      <c r="B20" s="222"/>
      <c r="C20" s="217"/>
      <c r="D20" s="240"/>
      <c r="E20" s="222"/>
      <c r="F20" s="217"/>
      <c r="G20" s="240"/>
      <c r="H20" s="222"/>
      <c r="I20" s="217"/>
      <c r="J20" s="240"/>
      <c r="K20" s="222"/>
      <c r="L20" s="217"/>
      <c r="M20" s="218"/>
      <c r="N20" s="87">
        <f t="shared" si="0"/>
        <v>0</v>
      </c>
      <c r="P20" s="275"/>
      <c r="Q20" s="278"/>
      <c r="R20" s="277">
        <v>0</v>
      </c>
      <c r="S20" s="278"/>
      <c r="T20" s="279">
        <v>0</v>
      </c>
    </row>
    <row r="21" spans="1:20" ht="12.75" hidden="1">
      <c r="A21" s="4" t="s">
        <v>136</v>
      </c>
      <c r="B21" s="226"/>
      <c r="C21" s="227"/>
      <c r="D21" s="243"/>
      <c r="E21" s="226"/>
      <c r="F21" s="227"/>
      <c r="G21" s="243"/>
      <c r="H21" s="226"/>
      <c r="I21" s="227"/>
      <c r="J21" s="243"/>
      <c r="K21" s="226"/>
      <c r="L21" s="227"/>
      <c r="M21" s="228"/>
      <c r="N21" s="87">
        <f t="shared" si="0"/>
        <v>0</v>
      </c>
      <c r="O21" s="91"/>
      <c r="P21" s="280"/>
      <c r="Q21" s="278"/>
      <c r="R21" s="277">
        <v>0</v>
      </c>
      <c r="S21" s="278"/>
      <c r="T21" s="279">
        <v>0</v>
      </c>
    </row>
    <row r="22" spans="1:20" ht="12.75">
      <c r="A22" s="1"/>
      <c r="B22" s="229"/>
      <c r="C22" s="230"/>
      <c r="D22" s="244"/>
      <c r="E22" s="229"/>
      <c r="F22" s="230"/>
      <c r="G22" s="244"/>
      <c r="H22" s="229"/>
      <c r="I22" s="230"/>
      <c r="J22" s="244"/>
      <c r="K22" s="229"/>
      <c r="L22" s="230"/>
      <c r="M22" s="231"/>
      <c r="N22" s="87">
        <f t="shared" si="0"/>
        <v>0</v>
      </c>
      <c r="O22" s="91"/>
      <c r="P22" s="275" t="s">
        <v>171</v>
      </c>
      <c r="Q22" s="276">
        <f>N52</f>
        <v>33949.162588774736</v>
      </c>
      <c r="R22" s="277">
        <v>0.031588411837388336</v>
      </c>
      <c r="S22" s="278">
        <v>36</v>
      </c>
      <c r="T22" s="279">
        <v>0.04013377926421405</v>
      </c>
    </row>
    <row r="23" spans="1:20" ht="12.75">
      <c r="A23" s="1" t="s">
        <v>72</v>
      </c>
      <c r="B23" s="232"/>
      <c r="C23" s="230"/>
      <c r="D23" s="244"/>
      <c r="E23" s="229"/>
      <c r="F23" s="230"/>
      <c r="G23" s="244"/>
      <c r="H23" s="229"/>
      <c r="I23" s="230"/>
      <c r="J23" s="244"/>
      <c r="K23" s="229"/>
      <c r="L23" s="230"/>
      <c r="M23" s="231"/>
      <c r="N23" s="87">
        <f t="shared" si="0"/>
        <v>0</v>
      </c>
      <c r="O23" s="91"/>
      <c r="P23" s="283" t="s">
        <v>110</v>
      </c>
      <c r="Q23" s="270">
        <f>SUM(Q12:Q22)</f>
        <v>954153.2173158885</v>
      </c>
      <c r="R23" s="271"/>
      <c r="S23" s="270">
        <f>SUM(S12:S22)</f>
        <v>897</v>
      </c>
      <c r="T23" s="274"/>
    </row>
    <row r="24" spans="1:17" ht="12.75">
      <c r="A24" s="6" t="s">
        <v>64</v>
      </c>
      <c r="B24" s="229">
        <f>' FY07_09 Detailed  Budget '!$AD$32*'Schedule FY07'!B24</f>
        <v>2959.2020473228913</v>
      </c>
      <c r="C24" s="230">
        <f>' FY07_09 Detailed  Budget '!$AD$32*'Schedule FY07'!C24</f>
        <v>2959.2020473228913</v>
      </c>
      <c r="D24" s="244">
        <f>' FY07_09 Detailed  Budget '!$AD$32*'Schedule FY07'!D24</f>
        <v>2959.2020473228913</v>
      </c>
      <c r="E24" s="229">
        <f>' FY07_09 Detailed  Budget '!$AD$32*'Schedule FY07'!E24</f>
        <v>2959.2020473228913</v>
      </c>
      <c r="F24" s="230">
        <f>' FY07_09 Detailed  Budget '!$AD$32*'Schedule FY07'!F24</f>
        <v>1479.6010236614457</v>
      </c>
      <c r="G24" s="244">
        <f>' FY07_09 Detailed  Budget '!$AD$32*'Schedule FY07'!G24</f>
        <v>1479.6010236614457</v>
      </c>
      <c r="H24" s="229">
        <f>' FY07_09 Detailed  Budget '!$AD$32*'Schedule FY07'!H24</f>
        <v>1479.6010236614457</v>
      </c>
      <c r="I24" s="230">
        <f>' FY07_09 Detailed  Budget '!$AD$32*'Schedule FY07'!I24</f>
        <v>1479.6010236614457</v>
      </c>
      <c r="J24" s="244">
        <f>' FY07_09 Detailed  Budget '!$AD$32*'Schedule FY07'!J24</f>
        <v>2959.2020473228913</v>
      </c>
      <c r="K24" s="229">
        <f>' FY07_09 Detailed  Budget '!$AD$32*'Schedule FY07'!K24</f>
        <v>2959.2020473228913</v>
      </c>
      <c r="L24" s="230">
        <f>' FY07_09 Detailed  Budget '!$AD$32*'Schedule FY07'!L24</f>
        <v>2959.2020473228913</v>
      </c>
      <c r="M24" s="231">
        <f>' FY07_09 Detailed  Budget '!$AD$32*'Schedule FY07'!M24</f>
        <v>2959.2020473228913</v>
      </c>
      <c r="N24" s="87">
        <f>SUM(B24:M24)</f>
        <v>29592.020473228913</v>
      </c>
      <c r="O24" s="6"/>
      <c r="P24" s="6"/>
      <c r="Q24" s="89"/>
    </row>
    <row r="25" spans="1:16" ht="12.75">
      <c r="A25" s="6" t="s">
        <v>63</v>
      </c>
      <c r="B25" s="229">
        <f>' FY07_09 Detailed  Budget '!$AD$33*'Schedule FY07'!B25</f>
        <v>812.8243494946511</v>
      </c>
      <c r="C25" s="230">
        <f>' FY07_09 Detailed  Budget '!$AD$33*'Schedule FY07'!C25</f>
        <v>0</v>
      </c>
      <c r="D25" s="244">
        <f>' FY07_09 Detailed  Budget '!$AD$33*'Schedule FY07'!D25</f>
        <v>0</v>
      </c>
      <c r="E25" s="229">
        <f>' FY07_09 Detailed  Budget '!$AD$33*'Schedule FY07'!E25</f>
        <v>812.8243494946511</v>
      </c>
      <c r="F25" s="230">
        <f>' FY07_09 Detailed  Budget '!$AD$33*'Schedule FY07'!F25</f>
        <v>0</v>
      </c>
      <c r="G25" s="244">
        <f>' FY07_09 Detailed  Budget '!$AD$33*'Schedule FY07'!G25</f>
        <v>0</v>
      </c>
      <c r="H25" s="229">
        <f>' FY07_09 Detailed  Budget '!$AD$33*'Schedule FY07'!H25</f>
        <v>812.8243494946511</v>
      </c>
      <c r="I25" s="230">
        <f>' FY07_09 Detailed  Budget '!$AD$33*'Schedule FY07'!I25</f>
        <v>0</v>
      </c>
      <c r="J25" s="244">
        <f>' FY07_09 Detailed  Budget '!$AD$33*'Schedule FY07'!J25</f>
        <v>0</v>
      </c>
      <c r="K25" s="229">
        <f>' FY07_09 Detailed  Budget '!$AD$33*'Schedule FY07'!K25</f>
        <v>812.8243494946511</v>
      </c>
      <c r="L25" s="230">
        <f>' FY07_09 Detailed  Budget '!$AD$33*'Schedule FY07'!L25</f>
        <v>0</v>
      </c>
      <c r="M25" s="231">
        <f>' FY07_09 Detailed  Budget '!$AD$33*'Schedule FY07'!M25</f>
        <v>0</v>
      </c>
      <c r="N25" s="87">
        <f t="shared" si="0"/>
        <v>3251.2973979786043</v>
      </c>
      <c r="O25" s="6"/>
      <c r="P25" s="6"/>
    </row>
    <row r="26" spans="1:15" ht="12" customHeight="1">
      <c r="A26" t="s">
        <v>65</v>
      </c>
      <c r="B26" s="229">
        <f>' FY07_09 Detailed  Budget '!$AD$34*'Schedule FY07'!B26</f>
        <v>0</v>
      </c>
      <c r="C26" s="230">
        <f>' FY07_09 Detailed  Budget '!$AD$34*'Schedule FY07'!C26</f>
        <v>0</v>
      </c>
      <c r="D26" s="244">
        <f>' FY07_09 Detailed  Budget '!$AD$34*'Schedule FY07'!D26</f>
        <v>0</v>
      </c>
      <c r="E26" s="229">
        <f>' FY07_09 Detailed  Budget '!$AD$34*'Schedule FY07'!E26</f>
        <v>0</v>
      </c>
      <c r="F26" s="230">
        <f>' FY07_09 Detailed  Budget '!$AD$34*'Schedule FY07'!F26</f>
        <v>0</v>
      </c>
      <c r="G26" s="244">
        <f>' FY07_09 Detailed  Budget '!$AD$34*'Schedule FY07'!G26</f>
        <v>0</v>
      </c>
      <c r="H26" s="229">
        <f>' FY07_09 Detailed  Budget '!$AD$34*'Schedule FY07'!H26</f>
        <v>0</v>
      </c>
      <c r="I26" s="230">
        <f>' FY07_09 Detailed  Budget '!$AD$34*'Schedule FY07'!I26</f>
        <v>0</v>
      </c>
      <c r="J26" s="244">
        <f>' FY07_09 Detailed  Budget '!$AD$34*'Schedule FY07'!J26</f>
        <v>0</v>
      </c>
      <c r="K26" s="229">
        <f>' FY07_09 Detailed  Budget '!$AD$34*'Schedule FY07'!K26</f>
        <v>0</v>
      </c>
      <c r="L26" s="230">
        <f>' FY07_09 Detailed  Budget '!$AD$34*'Schedule FY07'!L26</f>
        <v>0</v>
      </c>
      <c r="M26" s="231">
        <f>' FY07_09 Detailed  Budget '!$AD$34*'Schedule FY07'!M26</f>
        <v>0</v>
      </c>
      <c r="N26" s="87">
        <f t="shared" si="0"/>
        <v>0</v>
      </c>
      <c r="O26" s="6"/>
    </row>
    <row r="27" spans="1:16" ht="12.75" hidden="1">
      <c r="A27"/>
      <c r="B27" s="229"/>
      <c r="C27" s="230"/>
      <c r="D27" s="244"/>
      <c r="E27" s="229"/>
      <c r="F27" s="230"/>
      <c r="G27" s="244"/>
      <c r="H27" s="229"/>
      <c r="I27" s="230"/>
      <c r="J27" s="244"/>
      <c r="K27" s="229"/>
      <c r="L27" s="230"/>
      <c r="M27" s="231"/>
      <c r="N27" s="87">
        <f t="shared" si="0"/>
        <v>0</v>
      </c>
      <c r="O27" s="91"/>
      <c r="P27" s="115"/>
    </row>
    <row r="28" spans="1:16" ht="12.75" hidden="1">
      <c r="A28" s="4" t="s">
        <v>137</v>
      </c>
      <c r="B28" s="229"/>
      <c r="C28" s="230"/>
      <c r="D28" s="244"/>
      <c r="E28" s="229"/>
      <c r="F28" s="230"/>
      <c r="G28" s="244"/>
      <c r="H28" s="229"/>
      <c r="I28" s="230"/>
      <c r="J28" s="244"/>
      <c r="K28" s="229"/>
      <c r="L28" s="230"/>
      <c r="M28" s="231"/>
      <c r="N28" s="87">
        <f t="shared" si="0"/>
        <v>0</v>
      </c>
      <c r="O28" s="91"/>
      <c r="P28" s="115"/>
    </row>
    <row r="29" spans="1:16" ht="12.75">
      <c r="A29" s="4"/>
      <c r="B29" s="229"/>
      <c r="C29" s="230"/>
      <c r="D29" s="244"/>
      <c r="E29" s="229"/>
      <c r="F29" s="230"/>
      <c r="G29" s="244"/>
      <c r="H29" s="229"/>
      <c r="I29" s="230"/>
      <c r="J29" s="244"/>
      <c r="K29" s="229"/>
      <c r="L29" s="230"/>
      <c r="M29" s="231"/>
      <c r="N29" s="87">
        <f t="shared" si="0"/>
        <v>0</v>
      </c>
      <c r="O29" s="91"/>
      <c r="P29" s="268"/>
    </row>
    <row r="30" spans="1:16" ht="12.75">
      <c r="A30" s="1" t="s">
        <v>73</v>
      </c>
      <c r="B30" s="229"/>
      <c r="C30" s="230"/>
      <c r="D30" s="244"/>
      <c r="E30" s="229"/>
      <c r="F30" s="230"/>
      <c r="G30" s="244"/>
      <c r="H30" s="229"/>
      <c r="I30" s="230"/>
      <c r="J30" s="244"/>
      <c r="K30" s="229"/>
      <c r="L30" s="230"/>
      <c r="M30" s="231"/>
      <c r="N30" s="87">
        <f t="shared" si="0"/>
        <v>0</v>
      </c>
      <c r="O30" s="6"/>
      <c r="P30" s="6"/>
    </row>
    <row r="31" spans="1:16" ht="12.75">
      <c r="A31" t="s">
        <v>66</v>
      </c>
      <c r="B31" s="229">
        <f>' FY07_09 Detailed  Budget '!$AD$39*'Schedule FY07'!B31</f>
        <v>3397.188233372185</v>
      </c>
      <c r="C31" s="230">
        <f>' FY07_09 Detailed  Budget '!$AD$39*'Schedule FY07'!C31</f>
        <v>2613.221717978604</v>
      </c>
      <c r="D31" s="244">
        <f>' FY07_09 Detailed  Budget '!$AD$39*'Schedule FY07'!D31</f>
        <v>1567.9330307871624</v>
      </c>
      <c r="E31" s="229">
        <f>' FY07_09 Detailed  Budget '!$AD$39*'Schedule FY07'!E31</f>
        <v>5357.104521856138</v>
      </c>
      <c r="F31" s="230">
        <f>' FY07_09 Detailed  Budget '!$AD$39*'Schedule FY07'!F31</f>
        <v>5357.104521856138</v>
      </c>
      <c r="G31" s="244">
        <f>' FY07_09 Detailed  Budget '!$AD$39*'Schedule FY07'!G31</f>
        <v>2613.221717978604</v>
      </c>
      <c r="H31" s="229">
        <f>' FY07_09 Detailed  Budget '!$AD$39*'Schedule FY07'!H31</f>
        <v>2613.221717978604</v>
      </c>
      <c r="I31" s="230">
        <f>' FY07_09 Detailed  Budget '!$AD$39*'Schedule FY07'!I31</f>
        <v>2613.221717978604</v>
      </c>
      <c r="J31" s="244">
        <f>' FY07_09 Detailed  Budget '!$AD$39*'Schedule FY07'!J31</f>
        <v>0</v>
      </c>
      <c r="K31" s="229">
        <f>' FY07_09 Detailed  Budget '!$AD$39*'Schedule FY07'!K31</f>
        <v>0</v>
      </c>
      <c r="L31" s="230">
        <f>' FY07_09 Detailed  Budget '!$AD$39*'Schedule FY07'!L31</f>
        <v>0</v>
      </c>
      <c r="M31" s="231">
        <f>' FY07_09 Detailed  Budget '!$AD$39*'Schedule FY07'!M31</f>
        <v>0</v>
      </c>
      <c r="N31" s="87">
        <f t="shared" si="0"/>
        <v>26132.217179786036</v>
      </c>
      <c r="O31" s="6"/>
      <c r="P31" s="6"/>
    </row>
    <row r="32" spans="1:16" ht="12.75">
      <c r="A32" t="s">
        <v>67</v>
      </c>
      <c r="B32" s="229">
        <f>' FY07_09 Detailed  Budget '!$AD$40*'Schedule FY07'!B32</f>
        <v>4015.686853519759</v>
      </c>
      <c r="C32" s="230">
        <f>' FY07_09 Detailed  Budget '!$AD$40*'Schedule FY07'!C32</f>
        <v>3088.9898873228917</v>
      </c>
      <c r="D32" s="244">
        <f>' FY07_09 Detailed  Budget '!$AD$40*'Schedule FY07'!D32</f>
        <v>1853.3939323937348</v>
      </c>
      <c r="E32" s="229">
        <f>' FY07_09 Detailed  Budget '!$AD$40*'Schedule FY07'!E32</f>
        <v>6332.429269011927</v>
      </c>
      <c r="F32" s="230">
        <f>' FY07_09 Detailed  Budget '!$AD$40*'Schedule FY07'!F32</f>
        <v>6332.429269011927</v>
      </c>
      <c r="G32" s="244">
        <f>' FY07_09 Detailed  Budget '!$AD$40*'Schedule FY07'!G32</f>
        <v>3088.9898873228917</v>
      </c>
      <c r="H32" s="229">
        <f>' FY07_09 Detailed  Budget '!$AD$40*'Schedule FY07'!H32</f>
        <v>3088.9898873228917</v>
      </c>
      <c r="I32" s="230">
        <f>' FY07_09 Detailed  Budget '!$AD$40*'Schedule FY07'!I32</f>
        <v>3088.9898873228917</v>
      </c>
      <c r="J32" s="244">
        <f>' FY07_09 Detailed  Budget '!$AD$40*'Schedule FY07'!J32</f>
        <v>0</v>
      </c>
      <c r="K32" s="229">
        <f>' FY07_09 Detailed  Budget '!$AD$40*'Schedule FY07'!K32</f>
        <v>0</v>
      </c>
      <c r="L32" s="230">
        <f>' FY07_09 Detailed  Budget '!$AD$40*'Schedule FY07'!L32</f>
        <v>0</v>
      </c>
      <c r="M32" s="231">
        <f>' FY07_09 Detailed  Budget '!$AD$40*'Schedule FY07'!M32</f>
        <v>0</v>
      </c>
      <c r="N32" s="87">
        <f t="shared" si="0"/>
        <v>30889.898873228918</v>
      </c>
      <c r="O32" s="91"/>
      <c r="P32" s="269"/>
    </row>
    <row r="33" spans="1:16" ht="12.75">
      <c r="A33" t="s">
        <v>68</v>
      </c>
      <c r="B33" s="229">
        <f>' FY07_09 Detailed  Budget '!$AD$41*'Schedule FY07'!B33</f>
        <v>3934.547252783966</v>
      </c>
      <c r="C33" s="230">
        <f>' FY07_09 Detailed  Budget '!$AD$41*'Schedule FY07'!C33</f>
        <v>3026.5748098338204</v>
      </c>
      <c r="D33" s="244">
        <f>' FY07_09 Detailed  Budget '!$AD$41*'Schedule FY07'!D33</f>
        <v>1815.944885900292</v>
      </c>
      <c r="E33" s="229">
        <f>' FY07_09 Detailed  Budget '!$AD$41*'Schedule FY07'!E33</f>
        <v>6204.478360159331</v>
      </c>
      <c r="F33" s="230">
        <f>' FY07_09 Detailed  Budget '!$AD$41*'Schedule FY07'!F33</f>
        <v>6204.478360159331</v>
      </c>
      <c r="G33" s="244">
        <f>' FY07_09 Detailed  Budget '!$AD$41*'Schedule FY07'!G33</f>
        <v>3026.5748098338204</v>
      </c>
      <c r="H33" s="229">
        <f>' FY07_09 Detailed  Budget '!$AD$41*'Schedule FY07'!H33</f>
        <v>3026.5748098338204</v>
      </c>
      <c r="I33" s="230">
        <f>' FY07_09 Detailed  Budget '!$AD$41*'Schedule FY07'!I33</f>
        <v>3026.5748098338204</v>
      </c>
      <c r="J33" s="244">
        <f>' FY07_09 Detailed  Budget '!$AD$41*'Schedule FY07'!J33</f>
        <v>0</v>
      </c>
      <c r="K33" s="229">
        <f>' FY07_09 Detailed  Budget '!$AD$41*'Schedule FY07'!K33</f>
        <v>0</v>
      </c>
      <c r="L33" s="230">
        <f>' FY07_09 Detailed  Budget '!$AD$41*'Schedule FY07'!L33</f>
        <v>0</v>
      </c>
      <c r="M33" s="231">
        <f>' FY07_09 Detailed  Budget '!$AD$41*'Schedule FY07'!M33</f>
        <v>0</v>
      </c>
      <c r="N33" s="87">
        <f t="shared" si="0"/>
        <v>30265.748098338197</v>
      </c>
      <c r="O33" s="6"/>
      <c r="P33" s="6"/>
    </row>
    <row r="34" spans="1:15" ht="12" customHeight="1">
      <c r="A34" t="s">
        <v>69</v>
      </c>
      <c r="B34" s="229">
        <f>' FY07_09 Detailed  Budget '!$AD$42*'Schedule FY07'!B34</f>
        <v>0</v>
      </c>
      <c r="C34" s="230">
        <f>' FY07_09 Detailed  Budget '!$AD$42*'Schedule FY07'!C34</f>
        <v>0</v>
      </c>
      <c r="D34" s="244">
        <f>' FY07_09 Detailed  Budget '!$AD$42*'Schedule FY07'!D34</f>
        <v>0</v>
      </c>
      <c r="E34" s="229">
        <f>' FY07_09 Detailed  Budget '!$AD$42*'Schedule FY07'!E34</f>
        <v>0</v>
      </c>
      <c r="F34" s="230">
        <f>' FY07_09 Detailed  Budget '!$AD$42*'Schedule FY07'!F34</f>
        <v>0</v>
      </c>
      <c r="G34" s="244">
        <f>' FY07_09 Detailed  Budget '!$AD$42*'Schedule FY07'!G34</f>
        <v>0</v>
      </c>
      <c r="H34" s="229">
        <f>' FY07_09 Detailed  Budget '!$AD$42*'Schedule FY07'!H34</f>
        <v>0</v>
      </c>
      <c r="I34" s="230">
        <f>' FY07_09 Detailed  Budget '!$AD$42*'Schedule FY07'!I34</f>
        <v>0</v>
      </c>
      <c r="J34" s="244">
        <f>' FY07_09 Detailed  Budget '!$AD$42*'Schedule FY07'!J34</f>
        <v>0</v>
      </c>
      <c r="K34" s="229">
        <f>' FY07_09 Detailed  Budget '!$AD$42*'Schedule FY07'!K34</f>
        <v>0</v>
      </c>
      <c r="L34" s="230">
        <f>' FY07_09 Detailed  Budget '!$AD$42*'Schedule FY07'!L34</f>
        <v>0</v>
      </c>
      <c r="M34" s="231">
        <f>' FY07_09 Detailed  Budget '!$AD$42*'Schedule FY07'!M34</f>
        <v>0</v>
      </c>
      <c r="N34" s="87">
        <f t="shared" si="0"/>
        <v>0</v>
      </c>
      <c r="O34" s="91"/>
    </row>
    <row r="35" spans="1:16" ht="12.75" hidden="1">
      <c r="A35"/>
      <c r="B35" s="229"/>
      <c r="C35" s="230"/>
      <c r="D35" s="244"/>
      <c r="E35" s="229"/>
      <c r="F35" s="230"/>
      <c r="G35" s="244"/>
      <c r="H35" s="229"/>
      <c r="I35" s="230"/>
      <c r="J35" s="244"/>
      <c r="K35" s="229"/>
      <c r="L35" s="230"/>
      <c r="M35" s="231"/>
      <c r="N35" s="87">
        <f t="shared" si="0"/>
        <v>0</v>
      </c>
      <c r="O35" s="6"/>
      <c r="P35" s="6"/>
    </row>
    <row r="36" spans="1:16" ht="12.75" hidden="1">
      <c r="A36" s="4" t="s">
        <v>147</v>
      </c>
      <c r="B36" s="229"/>
      <c r="C36" s="230"/>
      <c r="D36" s="244"/>
      <c r="E36" s="229"/>
      <c r="F36" s="230"/>
      <c r="G36" s="244"/>
      <c r="H36" s="229"/>
      <c r="I36" s="230"/>
      <c r="J36" s="244"/>
      <c r="K36" s="229"/>
      <c r="L36" s="230"/>
      <c r="M36" s="231"/>
      <c r="N36" s="87">
        <f t="shared" si="0"/>
        <v>0</v>
      </c>
      <c r="O36" s="6"/>
      <c r="P36" s="6"/>
    </row>
    <row r="37" spans="1:16" ht="12.75">
      <c r="A37" s="4"/>
      <c r="B37" s="229"/>
      <c r="C37" s="230"/>
      <c r="D37" s="244"/>
      <c r="E37" s="229"/>
      <c r="F37" s="230"/>
      <c r="G37" s="244"/>
      <c r="H37" s="229"/>
      <c r="I37" s="230"/>
      <c r="J37" s="244"/>
      <c r="K37" s="229"/>
      <c r="L37" s="230"/>
      <c r="M37" s="231"/>
      <c r="N37" s="87">
        <f t="shared" si="0"/>
        <v>0</v>
      </c>
      <c r="O37" s="91"/>
      <c r="P37" s="6"/>
    </row>
    <row r="38" spans="1:16" ht="12.75">
      <c r="A38" s="1" t="s">
        <v>75</v>
      </c>
      <c r="B38" s="229"/>
      <c r="C38" s="230"/>
      <c r="D38" s="244"/>
      <c r="E38" s="229"/>
      <c r="F38" s="230"/>
      <c r="G38" s="244"/>
      <c r="H38" s="229"/>
      <c r="I38" s="230"/>
      <c r="J38" s="244"/>
      <c r="K38" s="229"/>
      <c r="L38" s="230"/>
      <c r="M38" s="231"/>
      <c r="N38" s="87">
        <f t="shared" si="0"/>
        <v>0</v>
      </c>
      <c r="O38" s="91"/>
      <c r="P38" s="6"/>
    </row>
    <row r="39" spans="1:16" ht="12.75">
      <c r="A39" t="s">
        <v>8</v>
      </c>
      <c r="B39" s="229">
        <f>' FY07_09 Detailed  Budget '!$AD$47*'Schedule FY07'!B39</f>
        <v>18919.17353940162</v>
      </c>
      <c r="C39" s="230">
        <f>' FY07_09 Detailed  Budget '!$AD$47*'Schedule FY07'!C39</f>
        <v>18919.17353940162</v>
      </c>
      <c r="D39" s="244">
        <f>' FY07_09 Detailed  Budget '!$AD$47*'Schedule FY07'!D39</f>
        <v>18919.17353940162</v>
      </c>
      <c r="E39" s="229">
        <f>' FY07_09 Detailed  Budget '!$AD$47*'Schedule FY07'!E39</f>
        <v>18919.17353940162</v>
      </c>
      <c r="F39" s="230">
        <f>' FY07_09 Detailed  Budget '!$AD$47*'Schedule FY07'!F39</f>
        <v>18919.17353940162</v>
      </c>
      <c r="G39" s="244">
        <f>' FY07_09 Detailed  Budget '!$AD$47*'Schedule FY07'!G39</f>
        <v>0</v>
      </c>
      <c r="H39" s="229">
        <f>' FY07_09 Detailed  Budget '!$AD$47*'Schedule FY07'!H39</f>
        <v>0</v>
      </c>
      <c r="I39" s="230">
        <f>' FY07_09 Detailed  Budget '!$AD$47*'Schedule FY07'!I39</f>
        <v>0</v>
      </c>
      <c r="J39" s="244">
        <f>' FY07_09 Detailed  Budget '!$AD$47*'Schedule FY07'!J39</f>
        <v>0</v>
      </c>
      <c r="K39" s="229">
        <f>' FY07_09 Detailed  Budget '!$AD$47*'Schedule FY07'!K39</f>
        <v>0</v>
      </c>
      <c r="L39" s="230">
        <f>' FY07_09 Detailed  Budget '!$AD$47*'Schedule FY07'!L39</f>
        <v>0</v>
      </c>
      <c r="M39" s="231">
        <f>' FY07_09 Detailed  Budget '!$AD$47*'Schedule FY07'!M39</f>
        <v>0</v>
      </c>
      <c r="N39" s="87">
        <f t="shared" si="0"/>
        <v>94595.8676970081</v>
      </c>
      <c r="O39" s="6"/>
      <c r="P39" s="6"/>
    </row>
    <row r="40" spans="1:14" ht="12.75">
      <c r="A40" s="6" t="s">
        <v>70</v>
      </c>
      <c r="B40" s="229">
        <f>' FY07_09 Detailed  Budget '!$AD$48*'Schedule FY07'!B40</f>
        <v>0</v>
      </c>
      <c r="C40" s="230">
        <f>' FY07_09 Detailed  Budget '!$AD$48*'Schedule FY07'!C40</f>
        <v>0</v>
      </c>
      <c r="D40" s="244">
        <f>' FY07_09 Detailed  Budget '!$AD$48*'Schedule FY07'!D40</f>
        <v>0</v>
      </c>
      <c r="E40" s="229">
        <f>' FY07_09 Detailed  Budget '!$AD$48*'Schedule FY07'!E40</f>
        <v>18626.341015030204</v>
      </c>
      <c r="F40" s="230">
        <f>' FY07_09 Detailed  Budget '!$AD$48*'Schedule FY07'!F40</f>
        <v>18626.341015030204</v>
      </c>
      <c r="G40" s="244">
        <f>' FY07_09 Detailed  Budget '!$AD$48*'Schedule FY07'!G40</f>
        <v>18626.341015030204</v>
      </c>
      <c r="H40" s="229">
        <f>' FY07_09 Detailed  Budget '!$AD$48*'Schedule FY07'!H40</f>
        <v>18626.341015030204</v>
      </c>
      <c r="I40" s="230">
        <f>' FY07_09 Detailed  Budget '!$AD$48*'Schedule FY07'!I40</f>
        <v>4656.585253757551</v>
      </c>
      <c r="J40" s="244">
        <f>' FY07_09 Detailed  Budget '!$AD$48*'Schedule FY07'!J40</f>
        <v>4656.585253757551</v>
      </c>
      <c r="K40" s="229">
        <f>' FY07_09 Detailed  Budget '!$AD$48*'Schedule FY07'!K40</f>
        <v>9313.170507515102</v>
      </c>
      <c r="L40" s="230">
        <f>' FY07_09 Detailed  Budget '!$AD$48*'Schedule FY07'!L40</f>
        <v>0</v>
      </c>
      <c r="M40" s="231">
        <f>' FY07_09 Detailed  Budget '!$AD$48*'Schedule FY07'!M40</f>
        <v>0</v>
      </c>
      <c r="N40" s="87">
        <f t="shared" si="0"/>
        <v>93131.70507515103</v>
      </c>
    </row>
    <row r="41" spans="1:14" ht="12.75">
      <c r="A41" t="s">
        <v>71</v>
      </c>
      <c r="B41" s="229">
        <f>' FY07_09 Detailed  Budget '!$AD$49*'Schedule FY07'!B41</f>
        <v>0</v>
      </c>
      <c r="C41" s="229">
        <f>' FY07_09 Detailed  Budget '!$AD$49*'Schedule FY07'!C41</f>
        <v>0</v>
      </c>
      <c r="D41" s="229">
        <f>' FY07_09 Detailed  Budget '!$AD$49*'Schedule FY07'!D41</f>
        <v>0</v>
      </c>
      <c r="E41" s="229">
        <f>' FY07_09 Detailed  Budget '!$AD$49*'Schedule FY07'!E41</f>
        <v>0</v>
      </c>
      <c r="F41" s="230">
        <f>' FY07_09 Detailed  Budget '!$AD$49*'Schedule FY07'!F41</f>
        <v>18462.07043983876</v>
      </c>
      <c r="G41" s="244">
        <f>' FY07_09 Detailed  Budget '!$AD$49*'Schedule FY07'!G41</f>
        <v>18462.07043983876</v>
      </c>
      <c r="H41" s="229">
        <f>' FY07_09 Detailed  Budget '!$AD$49*'Schedule FY07'!H41</f>
        <v>18462.07043983876</v>
      </c>
      <c r="I41" s="230">
        <f>' FY07_09 Detailed  Budget '!$AD$49*'Schedule FY07'!I41</f>
        <v>18462.07043983876</v>
      </c>
      <c r="J41" s="244">
        <f>' FY07_09 Detailed  Budget '!$AD$49*'Schedule FY07'!J41</f>
        <v>18462.07043983876</v>
      </c>
      <c r="K41" s="229">
        <f>' FY07_09 Detailed  Budget '!$AD$49*'Schedule FY07'!K41</f>
        <v>18462.07043983876</v>
      </c>
      <c r="L41" s="230">
        <f>' FY07_09 Detailed  Budget '!$AD$49*'Schedule FY07'!L41</f>
        <v>36924.14087967752</v>
      </c>
      <c r="M41" s="231">
        <f>' FY07_09 Detailed  Budget '!$AD$49*'Schedule FY07'!M41</f>
        <v>36924.14087967752</v>
      </c>
      <c r="N41" s="87">
        <f t="shared" si="0"/>
        <v>184620.7043983876</v>
      </c>
    </row>
    <row r="42" spans="1:14" ht="12.75">
      <c r="A42" t="s">
        <v>3</v>
      </c>
      <c r="B42" s="229">
        <f>' FY07_09 Detailed  Budget '!$AD$50*'Schedule FY07'!B42</f>
        <v>4005.941328497902</v>
      </c>
      <c r="C42" s="230">
        <f>' FY07_09 Detailed  Budget '!$AD$50*'Schedule FY07'!C42</f>
        <v>4005.941328497902</v>
      </c>
      <c r="D42" s="244">
        <f>' FY07_09 Detailed  Budget '!$AD$50*'Schedule FY07'!D42</f>
        <v>4005.941328497902</v>
      </c>
      <c r="E42" s="229">
        <f>' FY07_09 Detailed  Budget '!$AD$50*'Schedule FY07'!E42</f>
        <v>4005.941328497902</v>
      </c>
      <c r="F42" s="230">
        <f>' FY07_09 Detailed  Budget '!$AD$50*'Schedule FY07'!F42</f>
        <v>4005.941328497902</v>
      </c>
      <c r="G42" s="244">
        <f>' FY07_09 Detailed  Budget '!$AD$50*'Schedule FY07'!G42</f>
        <v>4005.941328497902</v>
      </c>
      <c r="H42" s="229">
        <f>' FY07_09 Detailed  Budget '!$AD$50*'Schedule FY07'!H42</f>
        <v>4005.941328497902</v>
      </c>
      <c r="I42" s="230">
        <f>' FY07_09 Detailed  Budget '!$AD$50*'Schedule FY07'!I42</f>
        <v>4005.941328497902</v>
      </c>
      <c r="J42" s="244">
        <f>' FY07_09 Detailed  Budget '!$AD$50*'Schedule FY07'!J42</f>
        <v>4005.941328497902</v>
      </c>
      <c r="K42" s="229">
        <f>' FY07_09 Detailed  Budget '!$AD$50*'Schedule FY07'!K42</f>
        <v>4005.941328497902</v>
      </c>
      <c r="L42" s="230">
        <f>' FY07_09 Detailed  Budget '!$AD$50*'Schedule FY07'!L42</f>
        <v>0</v>
      </c>
      <c r="M42" s="231">
        <f>' FY07_09 Detailed  Budget '!$AD$50*'Schedule FY07'!M42</f>
        <v>0</v>
      </c>
      <c r="N42" s="87">
        <f t="shared" si="0"/>
        <v>40059.41328497902</v>
      </c>
    </row>
    <row r="43" spans="1:14" ht="12" customHeight="1">
      <c r="A43" t="s">
        <v>4</v>
      </c>
      <c r="B43" s="229">
        <f>' FY07_09 Detailed  Budget '!$AD$51*'Schedule FY07'!B43</f>
        <v>1922.4599349046637</v>
      </c>
      <c r="C43" s="230">
        <f>' FY07_09 Detailed  Budget '!$AD$51*'Schedule FY07'!C43</f>
        <v>3844.9198698093273</v>
      </c>
      <c r="D43" s="244">
        <f>' FY07_09 Detailed  Budget '!$AD$51*'Schedule FY07'!D43</f>
        <v>1922.4599349046637</v>
      </c>
      <c r="E43" s="229">
        <f>' FY07_09 Detailed  Budget '!$AD$51*'Schedule FY07'!E43</f>
        <v>3844.9198698093273</v>
      </c>
      <c r="F43" s="230">
        <f>' FY07_09 Detailed  Budget '!$AD$51*'Schedule FY07'!F43</f>
        <v>1922.4599349046637</v>
      </c>
      <c r="G43" s="244">
        <f>' FY07_09 Detailed  Budget '!$AD$51*'Schedule FY07'!G43</f>
        <v>3844.9198698093273</v>
      </c>
      <c r="H43" s="229">
        <f>' FY07_09 Detailed  Budget '!$AD$51*'Schedule FY07'!H43</f>
        <v>1922.4599349046637</v>
      </c>
      <c r="I43" s="230">
        <f>' FY07_09 Detailed  Budget '!$AD$51*'Schedule FY07'!I43</f>
        <v>3844.9198698093273</v>
      </c>
      <c r="J43" s="244">
        <f>' FY07_09 Detailed  Budget '!$AD$51*'Schedule FY07'!J43</f>
        <v>3844.9198698093273</v>
      </c>
      <c r="K43" s="229">
        <f>' FY07_09 Detailed  Budget '!$AD$51*'Schedule FY07'!K43</f>
        <v>3844.9198698093273</v>
      </c>
      <c r="L43" s="230">
        <f>' FY07_09 Detailed  Budget '!$AD$51*'Schedule FY07'!L43</f>
        <v>3844.9198698093273</v>
      </c>
      <c r="M43" s="231">
        <f>' FY07_09 Detailed  Budget '!$AD$51*'Schedule FY07'!M43</f>
        <v>3844.9198698093273</v>
      </c>
      <c r="N43" s="87">
        <f t="shared" si="0"/>
        <v>38449.19869809327</v>
      </c>
    </row>
    <row r="44" spans="1:14" ht="12.75" hidden="1">
      <c r="A44"/>
      <c r="B44" s="232"/>
      <c r="C44" s="233"/>
      <c r="D44" s="245"/>
      <c r="E44" s="232"/>
      <c r="F44" s="233"/>
      <c r="G44" s="245"/>
      <c r="H44" s="232"/>
      <c r="I44" s="233"/>
      <c r="J44" s="245"/>
      <c r="K44" s="232"/>
      <c r="L44" s="233"/>
      <c r="M44" s="234"/>
      <c r="N44" s="87">
        <f t="shared" si="0"/>
        <v>0</v>
      </c>
    </row>
    <row r="45" spans="1:14" ht="12.75" hidden="1">
      <c r="A45" s="4" t="s">
        <v>90</v>
      </c>
      <c r="B45" s="232"/>
      <c r="C45" s="233"/>
      <c r="D45" s="245"/>
      <c r="E45" s="232"/>
      <c r="F45" s="233"/>
      <c r="G45" s="245"/>
      <c r="H45" s="232"/>
      <c r="I45" s="233"/>
      <c r="J45" s="245"/>
      <c r="K45" s="232"/>
      <c r="L45" s="233"/>
      <c r="M45" s="234"/>
      <c r="N45" s="87">
        <f t="shared" si="0"/>
        <v>0</v>
      </c>
    </row>
    <row r="46" spans="1:14" ht="12.75">
      <c r="A46" s="4"/>
      <c r="B46" s="232"/>
      <c r="C46" s="233"/>
      <c r="D46" s="245"/>
      <c r="E46" s="232"/>
      <c r="F46" s="233"/>
      <c r="G46" s="245"/>
      <c r="H46" s="232"/>
      <c r="I46" s="233"/>
      <c r="J46" s="245"/>
      <c r="K46" s="232"/>
      <c r="L46" s="233"/>
      <c r="M46" s="234"/>
      <c r="N46" s="87">
        <f t="shared" si="0"/>
        <v>0</v>
      </c>
    </row>
    <row r="47" spans="1:14" ht="12" customHeight="1">
      <c r="A47" s="4" t="s">
        <v>74</v>
      </c>
      <c r="B47" s="232">
        <f>' FY07_09 Detailed  Budget '!$AD$58*'Schedule FY07'!B48</f>
        <v>8724.133832161806</v>
      </c>
      <c r="C47" s="233">
        <f>' FY07_09 Detailed  Budget '!$AD$58*'Schedule FY07'!C48</f>
        <v>8724.133832161806</v>
      </c>
      <c r="D47" s="245">
        <f>' FY07_09 Detailed  Budget '!$AD$58*'Schedule FY07'!D48</f>
        <v>4362.066916080903</v>
      </c>
      <c r="E47" s="232">
        <f>' FY07_09 Detailed  Budget '!$AD$58*'Schedule FY07'!E48</f>
        <v>4362.066916080903</v>
      </c>
      <c r="F47" s="233">
        <f>' FY07_09 Detailed  Budget '!$AD$58*'Schedule FY07'!F48</f>
        <v>4362.066916080903</v>
      </c>
      <c r="G47" s="245">
        <f>' FY07_09 Detailed  Budget '!$AD$58*'Schedule FY07'!G48</f>
        <v>4362.066916080903</v>
      </c>
      <c r="H47" s="232">
        <f>' FY07_09 Detailed  Budget '!$AD$58*'Schedule FY07'!H48</f>
        <v>8724.133832161806</v>
      </c>
      <c r="I47" s="233">
        <f>' FY07_09 Detailed  Budget '!$AD$58*'Schedule FY07'!I48</f>
        <v>8724.133832161806</v>
      </c>
      <c r="J47" s="245">
        <f>' FY07_09 Detailed  Budget '!$AD$58*'Schedule FY07'!J48</f>
        <v>8724.133832161806</v>
      </c>
      <c r="K47" s="232">
        <f>' FY07_09 Detailed  Budget '!$AD$58*'Schedule FY07'!K48</f>
        <v>8724.133832161806</v>
      </c>
      <c r="L47" s="233">
        <f>' FY07_09 Detailed  Budget '!$AD$58*'Schedule FY07'!L48</f>
        <v>8724.133832161806</v>
      </c>
      <c r="M47" s="234">
        <f>' FY07_09 Detailed  Budget '!$AD$58*'Schedule FY07'!M48</f>
        <v>8724.133832161806</v>
      </c>
      <c r="N47" s="87">
        <f t="shared" si="0"/>
        <v>87241.33832161808</v>
      </c>
    </row>
    <row r="48" spans="1:14" ht="1.5" customHeight="1" hidden="1">
      <c r="A48" s="69" t="s">
        <v>5</v>
      </c>
      <c r="B48" s="232"/>
      <c r="C48" s="233"/>
      <c r="D48" s="245"/>
      <c r="E48" s="232"/>
      <c r="F48" s="233"/>
      <c r="G48" s="245"/>
      <c r="H48" s="232"/>
      <c r="I48" s="233"/>
      <c r="J48" s="245"/>
      <c r="K48" s="232"/>
      <c r="L48" s="233"/>
      <c r="M48" s="234"/>
      <c r="N48" s="87">
        <f t="shared" si="0"/>
        <v>0</v>
      </c>
    </row>
    <row r="49" spans="1:14" ht="12.75" hidden="1">
      <c r="A49" s="4"/>
      <c r="B49" s="232"/>
      <c r="C49" s="233"/>
      <c r="D49" s="245"/>
      <c r="E49" s="232"/>
      <c r="F49" s="233"/>
      <c r="G49" s="245"/>
      <c r="H49" s="232"/>
      <c r="I49" s="233"/>
      <c r="J49" s="245"/>
      <c r="K49" s="232"/>
      <c r="L49" s="233"/>
      <c r="M49" s="234"/>
      <c r="N49" s="87">
        <f t="shared" si="0"/>
        <v>0</v>
      </c>
    </row>
    <row r="50" spans="1:14" ht="12.75" hidden="1">
      <c r="A50" s="4" t="s">
        <v>6</v>
      </c>
      <c r="B50" s="232"/>
      <c r="C50" s="233"/>
      <c r="D50" s="245"/>
      <c r="E50" s="232"/>
      <c r="F50" s="233"/>
      <c r="G50" s="245"/>
      <c r="H50" s="232"/>
      <c r="I50" s="233"/>
      <c r="J50" s="245"/>
      <c r="K50" s="232"/>
      <c r="L50" s="233"/>
      <c r="M50" s="234"/>
      <c r="N50" s="87">
        <f t="shared" si="0"/>
        <v>0</v>
      </c>
    </row>
    <row r="51" spans="1:14" ht="12.75">
      <c r="A51" s="4"/>
      <c r="B51" s="232"/>
      <c r="C51" s="233"/>
      <c r="D51" s="245"/>
      <c r="E51" s="232"/>
      <c r="F51" s="233"/>
      <c r="G51" s="245"/>
      <c r="H51" s="232"/>
      <c r="I51" s="233"/>
      <c r="J51" s="245"/>
      <c r="K51" s="232"/>
      <c r="L51" s="233"/>
      <c r="M51" s="234"/>
      <c r="N51" s="87">
        <f t="shared" si="0"/>
        <v>0</v>
      </c>
    </row>
    <row r="52" spans="1:14" ht="12" customHeight="1">
      <c r="A52" s="4" t="s">
        <v>103</v>
      </c>
      <c r="B52" s="232">
        <f>' FY07_09 Detailed  Budget '!$AD$64*'Schedule FY07'!B53</f>
        <v>1697.458129438737</v>
      </c>
      <c r="C52" s="233">
        <f>' FY07_09 Detailed  Budget '!$AD$64*'Schedule FY07'!C53</f>
        <v>1697.458129438737</v>
      </c>
      <c r="D52" s="245">
        <f>' FY07_09 Detailed  Budget '!$AD$64*'Schedule FY07'!D53</f>
        <v>1697.458129438737</v>
      </c>
      <c r="E52" s="232">
        <f>' FY07_09 Detailed  Budget '!$AD$64*'Schedule FY07'!E53</f>
        <v>3394.916258877474</v>
      </c>
      <c r="F52" s="233">
        <f>' FY07_09 Detailed  Budget '!$AD$64*'Schedule FY07'!F53</f>
        <v>6789.832517754948</v>
      </c>
      <c r="G52" s="245">
        <f>' FY07_09 Detailed  Budget '!$AD$64*'Schedule FY07'!G53</f>
        <v>3394.916258877474</v>
      </c>
      <c r="H52" s="232">
        <f>' FY07_09 Detailed  Budget '!$AD$64*'Schedule FY07'!H53</f>
        <v>3394.916258877474</v>
      </c>
      <c r="I52" s="233">
        <f>' FY07_09 Detailed  Budget '!$AD$64*'Schedule FY07'!I53</f>
        <v>1697.458129438737</v>
      </c>
      <c r="J52" s="245">
        <f>' FY07_09 Detailed  Budget '!$AD$64*'Schedule FY07'!J53</f>
        <v>1697.458129438737</v>
      </c>
      <c r="K52" s="232">
        <f>' FY07_09 Detailed  Budget '!$AD$64*'Schedule FY07'!K53</f>
        <v>1697.458129438737</v>
      </c>
      <c r="L52" s="233">
        <f>' FY07_09 Detailed  Budget '!$AD$64*'Schedule FY07'!L53</f>
        <v>3394.916258877474</v>
      </c>
      <c r="M52" s="234">
        <f>' FY07_09 Detailed  Budget '!$AD$64*'Schedule FY07'!M53</f>
        <v>3394.916258877474</v>
      </c>
      <c r="N52" s="87">
        <f t="shared" si="0"/>
        <v>33949.162588774736</v>
      </c>
    </row>
    <row r="53" spans="1:14" ht="12.75" hidden="1">
      <c r="A53" s="346" t="s">
        <v>7</v>
      </c>
      <c r="B53" s="232"/>
      <c r="C53" s="233"/>
      <c r="D53" s="245"/>
      <c r="E53" s="232"/>
      <c r="F53" s="233"/>
      <c r="G53" s="245"/>
      <c r="H53" s="232"/>
      <c r="I53" s="233"/>
      <c r="J53" s="245"/>
      <c r="K53" s="232"/>
      <c r="L53" s="233"/>
      <c r="M53" s="234"/>
      <c r="N53" s="87">
        <f t="shared" si="0"/>
        <v>0</v>
      </c>
    </row>
    <row r="54" spans="1:14" ht="12.75" hidden="1">
      <c r="A54" s="346"/>
      <c r="B54" s="232"/>
      <c r="C54" s="233"/>
      <c r="D54" s="245"/>
      <c r="E54" s="232"/>
      <c r="F54" s="233"/>
      <c r="G54" s="245"/>
      <c r="H54" s="232"/>
      <c r="I54" s="233"/>
      <c r="J54" s="245"/>
      <c r="K54" s="232"/>
      <c r="L54" s="233"/>
      <c r="M54" s="234"/>
      <c r="N54" s="87">
        <f t="shared" si="0"/>
        <v>0</v>
      </c>
    </row>
    <row r="55" spans="1:14" ht="12.75" hidden="1">
      <c r="A55" s="69"/>
      <c r="B55" s="232"/>
      <c r="C55" s="233"/>
      <c r="D55" s="245"/>
      <c r="E55" s="232"/>
      <c r="F55" s="233"/>
      <c r="G55" s="245"/>
      <c r="H55" s="232"/>
      <c r="I55" s="233"/>
      <c r="J55" s="245"/>
      <c r="K55" s="232"/>
      <c r="L55" s="233"/>
      <c r="M55" s="234"/>
      <c r="N55" s="87">
        <f t="shared" si="0"/>
        <v>0</v>
      </c>
    </row>
    <row r="56" spans="1:14" ht="12.75" hidden="1">
      <c r="A56" s="4" t="s">
        <v>10</v>
      </c>
      <c r="B56" s="232"/>
      <c r="C56" s="233"/>
      <c r="D56" s="245"/>
      <c r="E56" s="232"/>
      <c r="F56" s="233"/>
      <c r="G56" s="245"/>
      <c r="H56" s="232"/>
      <c r="I56" s="233"/>
      <c r="J56" s="245"/>
      <c r="K56" s="232"/>
      <c r="L56" s="233"/>
      <c r="M56" s="234"/>
      <c r="N56" s="87">
        <f t="shared" si="0"/>
        <v>0</v>
      </c>
    </row>
    <row r="57" spans="2:14" ht="12.75">
      <c r="B57" s="232"/>
      <c r="C57" s="233"/>
      <c r="D57" s="245"/>
      <c r="E57" s="232"/>
      <c r="F57" s="233"/>
      <c r="G57" s="245"/>
      <c r="H57" s="232"/>
      <c r="I57" s="233"/>
      <c r="J57" s="245"/>
      <c r="K57" s="232"/>
      <c r="L57" s="233"/>
      <c r="M57" s="234"/>
      <c r="N57" s="87">
        <f t="shared" si="0"/>
        <v>0</v>
      </c>
    </row>
    <row r="58" spans="1:14" ht="13.5" thickBot="1">
      <c r="A58" s="88" t="s">
        <v>110</v>
      </c>
      <c r="B58" s="235"/>
      <c r="C58" s="236"/>
      <c r="D58" s="246"/>
      <c r="E58" s="235"/>
      <c r="F58" s="236"/>
      <c r="G58" s="246"/>
      <c r="H58" s="235"/>
      <c r="I58" s="236"/>
      <c r="J58" s="246"/>
      <c r="K58" s="235"/>
      <c r="L58" s="236"/>
      <c r="M58" s="237"/>
      <c r="N58" s="87">
        <f>SUM(N5:N52)</f>
        <v>954153.2173158887</v>
      </c>
    </row>
    <row r="60" ht="13.5" thickBot="1"/>
    <row r="61" spans="1:14" ht="12.75">
      <c r="A61" s="30" t="s">
        <v>160</v>
      </c>
      <c r="B61" s="203">
        <f>SUM(B6:B52)</f>
        <v>73488.17294988467</v>
      </c>
      <c r="C61" s="203">
        <f aca="true" t="shared" si="1" ref="C61:M61">SUM(C6:C52)</f>
        <v>71979.17261075407</v>
      </c>
      <c r="D61" s="203">
        <f t="shared" si="1"/>
        <v>62463.5800036434</v>
      </c>
      <c r="E61" s="203">
        <f t="shared" si="1"/>
        <v>87518.63852386604</v>
      </c>
      <c r="F61" s="203">
        <f t="shared" si="1"/>
        <v>105160.7399145215</v>
      </c>
      <c r="G61" s="203">
        <f t="shared" si="1"/>
        <v>75603.884315255</v>
      </c>
      <c r="H61" s="203">
        <f t="shared" si="1"/>
        <v>78856.31564592589</v>
      </c>
      <c r="I61" s="203">
        <f t="shared" si="1"/>
        <v>62493.23166761877</v>
      </c>
      <c r="J61" s="203">
        <f t="shared" si="1"/>
        <v>66137.78165146282</v>
      </c>
      <c r="K61" s="203">
        <f t="shared" si="1"/>
        <v>71607.19125471503</v>
      </c>
      <c r="L61" s="203">
        <f t="shared" si="1"/>
        <v>99422.25438912073</v>
      </c>
      <c r="M61" s="203">
        <f t="shared" si="1"/>
        <v>99422.25438912073</v>
      </c>
      <c r="N61" s="115">
        <f>SUM(B61:M61)</f>
        <v>954153.2173158885</v>
      </c>
    </row>
    <row r="62" spans="1:15" ht="12.75">
      <c r="A62" s="30" t="s">
        <v>161</v>
      </c>
      <c r="B62" s="204">
        <f>B61/$N$61</f>
        <v>0.07701925814033615</v>
      </c>
      <c r="C62" s="204">
        <f aca="true" t="shared" si="2" ref="C62:M62">C61/$N$61</f>
        <v>0.075437750776796</v>
      </c>
      <c r="D62" s="204">
        <f t="shared" si="2"/>
        <v>0.06546493673139686</v>
      </c>
      <c r="E62" s="204">
        <f t="shared" si="2"/>
        <v>0.09172388347655859</v>
      </c>
      <c r="F62" s="204">
        <f t="shared" si="2"/>
        <v>0.11021368267283876</v>
      </c>
      <c r="G62" s="204">
        <f t="shared" si="2"/>
        <v>0.0792366288172616</v>
      </c>
      <c r="H62" s="204">
        <f t="shared" si="2"/>
        <v>0.08264533852095075</v>
      </c>
      <c r="I62" s="204">
        <f t="shared" si="2"/>
        <v>0.06549601314914325</v>
      </c>
      <c r="J62" s="204">
        <f t="shared" si="2"/>
        <v>0.0693156826924651</v>
      </c>
      <c r="K62" s="204">
        <f t="shared" si="2"/>
        <v>0.07504789582552784</v>
      </c>
      <c r="L62" s="204">
        <f t="shared" si="2"/>
        <v>0.10419946459836263</v>
      </c>
      <c r="M62" s="204">
        <f t="shared" si="2"/>
        <v>0.10419946459836263</v>
      </c>
      <c r="N62" s="216">
        <f>O62/N61</f>
        <v>0.08333333333333334</v>
      </c>
      <c r="O62" s="70">
        <f>N61/12</f>
        <v>79512.76810965738</v>
      </c>
    </row>
    <row r="63" spans="1:14" ht="12.75">
      <c r="A63" s="205" t="s">
        <v>162</v>
      </c>
      <c r="B63" s="206"/>
      <c r="C63" s="207"/>
      <c r="D63" s="208">
        <f>B61+C61+D61</f>
        <v>207930.92556428217</v>
      </c>
      <c r="E63" s="209"/>
      <c r="F63" s="210"/>
      <c r="G63" s="208">
        <f>E61+F61+G61</f>
        <v>268283.2627536425</v>
      </c>
      <c r="H63" s="209"/>
      <c r="I63" s="210"/>
      <c r="J63" s="208">
        <f>H61+I61+J61</f>
        <v>207487.3289650075</v>
      </c>
      <c r="K63" s="209"/>
      <c r="L63" s="210"/>
      <c r="M63" s="208">
        <f>K61+L61+M61</f>
        <v>270451.7000329565</v>
      </c>
      <c r="N63" s="116"/>
    </row>
    <row r="64" spans="1:14" ht="13.5" thickBot="1">
      <c r="A64" s="205" t="s">
        <v>163</v>
      </c>
      <c r="B64" s="211"/>
      <c r="C64" s="212"/>
      <c r="D64" s="213">
        <f>B62+C62+D62</f>
        <v>0.21792194564852901</v>
      </c>
      <c r="E64" s="214"/>
      <c r="F64" s="215"/>
      <c r="G64" s="213">
        <f>E62+F62+G62</f>
        <v>0.28117419496665896</v>
      </c>
      <c r="H64" s="214"/>
      <c r="I64" s="215"/>
      <c r="J64" s="213">
        <f>H62+I62+J62</f>
        <v>0.21745703436255912</v>
      </c>
      <c r="K64" s="214"/>
      <c r="L64" s="215"/>
      <c r="M64" s="213">
        <f>K62+L62+M62</f>
        <v>0.2834468250222531</v>
      </c>
      <c r="N64" s="6"/>
    </row>
  </sheetData>
  <mergeCells count="1">
    <mergeCell ref="A53:A54"/>
  </mergeCells>
  <printOptions/>
  <pageMargins left="0.75" right="0.75" top="1" bottom="1" header="0.5" footer="0.5"/>
  <pageSetup fitToHeight="1" fitToWidth="1" horizontalDpi="600" verticalDpi="600" orientation="landscape"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 Technologies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Marmorek</dc:creator>
  <cp:keywords/>
  <dc:description/>
  <cp:lastModifiedBy>Trina Gerlack</cp:lastModifiedBy>
  <cp:lastPrinted>2005-12-13T22:26:46Z</cp:lastPrinted>
  <dcterms:created xsi:type="dcterms:W3CDTF">2000-05-26T20:12:38Z</dcterms:created>
  <dcterms:modified xsi:type="dcterms:W3CDTF">2005-12-13T22:27:16Z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-512175201</vt:i4>
  </property>
  <property fmtid="{D5CDD505-2E9C-101B-9397-08002B2CF9AE}" pid="3" name="_EmailSubject">
    <vt:lpwstr>WorkorderID E-1266 from Frank Young on December 13, 2005</vt:lpwstr>
  </property>
  <property fmtid="{D5CDD505-2E9C-101B-9397-08002B2CF9AE}" pid="4" name="_AuthorEmail">
    <vt:lpwstr>frank.young@cbfwa.org</vt:lpwstr>
  </property>
  <property fmtid="{D5CDD505-2E9C-101B-9397-08002B2CF9AE}" pid="5" name="_AuthorEmailDisplayName">
    <vt:lpwstr>Frank Young</vt:lpwstr>
  </property>
  <property fmtid="{D5CDD505-2E9C-101B-9397-08002B2CF9AE}" pid="6" name="_ReviewingToolsShownOnce">
    <vt:lpwstr/>
  </property>
</Properties>
</file>