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720" windowHeight="4350" tabRatio="789" activeTab="9"/>
  </bookViews>
  <sheets>
    <sheet name="XS7-R3 " sheetId="1" r:id="rId1"/>
    <sheet name="XS6-P2" sheetId="2" r:id="rId2"/>
    <sheet name="XS5-R2 " sheetId="3" r:id="rId3"/>
    <sheet name="XS4-R1 " sheetId="4" r:id="rId4"/>
    <sheet name="XS3-G2 " sheetId="5" r:id="rId5"/>
    <sheet name="XS2-P1 " sheetId="6" r:id="rId6"/>
    <sheet name="XS1-G1" sheetId="7" r:id="rId7"/>
    <sheet name="NEW xs2" sheetId="8" r:id="rId8"/>
    <sheet name="NEW xs1" sheetId="9" r:id="rId9"/>
    <sheet name="Long. Pro. NEW" sheetId="10" r:id="rId10"/>
    <sheet name="Long. Profile Ref." sheetId="11" r:id="rId11"/>
  </sheets>
  <definedNames>
    <definedName name="_xlnm.Print_Area" localSheetId="9">'Long. Pro. NEW'!$AM$8:$AV$79</definedName>
    <definedName name="_xlnm.Print_Area" localSheetId="10">'Long. Profile Ref.'!$A$2:$O$74</definedName>
    <definedName name="_xlnm.Print_Area" localSheetId="8">'NEW xs1'!$P$3:$AD$50</definedName>
    <definedName name="_xlnm.Print_Area" localSheetId="7">'NEW xs2'!$O$3:$AC$49</definedName>
    <definedName name="_xlnm.Print_Area" localSheetId="6">'XS1-G1'!$A$2:$L$51</definedName>
    <definedName name="_xlnm.Print_Area" localSheetId="5">'XS2-P1 '!$A$2:$L$60</definedName>
    <definedName name="_xlnm.Print_Area" localSheetId="4">'XS3-G2 '!$A$2:$M$53</definedName>
    <definedName name="_xlnm.Print_Area" localSheetId="3">'XS4-R1 '!$A$2:$L$55</definedName>
    <definedName name="_xlnm.Print_Area" localSheetId="2">'XS5-R2 '!$A$2:$L$59</definedName>
    <definedName name="_xlnm.Print_Area" localSheetId="1">'XS6-P2'!$A$2:$M$56</definedName>
    <definedName name="_xlnm.Print_Area" localSheetId="0">'XS7-R3 '!$A$2:$M$60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<sst xmlns="http://schemas.openxmlformats.org/spreadsheetml/2006/main" count="1127" uniqueCount="344">
  <si>
    <t>Milk Creek Cross Sections:</t>
  </si>
  <si>
    <t>Distance</t>
  </si>
  <si>
    <t>Height of</t>
  </si>
  <si>
    <t>from L. B.</t>
  </si>
  <si>
    <t>Back-Sight</t>
  </si>
  <si>
    <t>Instrument</t>
  </si>
  <si>
    <t>Fore-Sight</t>
  </si>
  <si>
    <t>Water</t>
  </si>
  <si>
    <t>STATION</t>
  </si>
  <si>
    <t>BS</t>
  </si>
  <si>
    <t>HI</t>
  </si>
  <si>
    <t>FS</t>
  </si>
  <si>
    <t>Depth</t>
  </si>
  <si>
    <t>Comments</t>
  </si>
  <si>
    <t>Elevation</t>
  </si>
  <si>
    <t>dmax @</t>
  </si>
  <si>
    <t>Milk Creek:</t>
  </si>
  <si>
    <t>Longitudinal  Profile of Reference Reach</t>
  </si>
  <si>
    <t>Streambed</t>
  </si>
  <si>
    <t>pool</t>
  </si>
  <si>
    <t>riffle</t>
  </si>
  <si>
    <t>length</t>
  </si>
  <si>
    <t>BM-well</t>
  </si>
  <si>
    <t/>
  </si>
  <si>
    <t>Lower benchmark, set up 1</t>
  </si>
  <si>
    <t>BM-RB stake on top of bank</t>
  </si>
  <si>
    <t xml:space="preserve">begin survey, Top riffle/End of pool </t>
  </si>
  <si>
    <t>mid pool</t>
  </si>
  <si>
    <t>End of riffle/Top of pool</t>
  </si>
  <si>
    <t>Top of riffle/End of pool</t>
  </si>
  <si>
    <t>Top of riffle/End of pool, Steelhead redd</t>
  </si>
  <si>
    <t>Top of riffle/End of pool, dense cover</t>
  </si>
  <si>
    <t>mid riffle</t>
  </si>
  <si>
    <t>upper pool</t>
  </si>
  <si>
    <t>End of riffle/Top of pool, dense cover</t>
  </si>
  <si>
    <t>5 ft. above pool tailout</t>
  </si>
  <si>
    <t>mid pool, Root wad</t>
  </si>
  <si>
    <t>fast riffle</t>
  </si>
  <si>
    <t>mid riffle, wide</t>
  </si>
  <si>
    <t>upper riffle, 13 ft. wide</t>
  </si>
  <si>
    <t>upper riffle, x-ing</t>
  </si>
  <si>
    <t>pool, lower near RW</t>
  </si>
  <si>
    <t>pool, below 2nd RW</t>
  </si>
  <si>
    <t>TP-1 on RB top of bank, set up 2</t>
  </si>
  <si>
    <t>TP-2 on RB top of bank, set up 3</t>
  </si>
  <si>
    <t>Elev. Change=</t>
  </si>
  <si>
    <t>Mean slope =</t>
  </si>
  <si>
    <t>(Measurements taken moving upstream)</t>
  </si>
  <si>
    <t>Culvert-ups.</t>
  </si>
  <si>
    <t>Base of Well</t>
  </si>
  <si>
    <t>is due to location of rod (we set wood stake)</t>
  </si>
  <si>
    <t>Check to known elevation- from ODOT map</t>
  </si>
  <si>
    <t>versus ODOT map = 11.14, difference</t>
  </si>
  <si>
    <t>Top Bank</t>
  </si>
  <si>
    <t xml:space="preserve">+ 11.20 ft. </t>
  </si>
  <si>
    <t>XS-2 @ 5+77, DEEP POOL WITH UNDERCUTS</t>
  </si>
  <si>
    <t>Bankful</t>
  </si>
  <si>
    <t>Undercuts</t>
  </si>
  <si>
    <t>from well</t>
  </si>
  <si>
    <t>LB, Bkf</t>
  </si>
  <si>
    <t>RB, Bkf</t>
  </si>
  <si>
    <t>LEW</t>
  </si>
  <si>
    <t>REW</t>
  </si>
  <si>
    <t>LB TBM</t>
  </si>
  <si>
    <t>RB TBM</t>
  </si>
  <si>
    <t>FPA</t>
  </si>
  <si>
    <t>BKF</t>
  </si>
  <si>
    <t>DMAX =</t>
  </si>
  <si>
    <t xml:space="preserve">FPA elev. </t>
  </si>
  <si>
    <t>elevation</t>
  </si>
  <si>
    <t>compass reading while standing at LB tbm stake = 72 degrees E of magnetic N</t>
  </si>
  <si>
    <t>compass reading while standing at LB tbm stake = 50 degrees E of magnetic N</t>
  </si>
  <si>
    <t>Bkf</t>
  </si>
  <si>
    <t>Note:  does not apply to pools</t>
  </si>
  <si>
    <t>edge of bank</t>
  </si>
  <si>
    <t>UC = 0.62</t>
  </si>
  <si>
    <t>UC = 0.63</t>
  </si>
  <si>
    <t>LB TBM, near xs3 stake</t>
  </si>
  <si>
    <t>TB</t>
  </si>
  <si>
    <t>REW, UC = 0.62</t>
  </si>
  <si>
    <t>DATE:</t>
  </si>
  <si>
    <t>from well,</t>
  </si>
  <si>
    <t xml:space="preserve">              Average length      =</t>
  </si>
  <si>
    <t>Total length =</t>
  </si>
  <si>
    <t>Percent:</t>
  </si>
  <si>
    <t>Compass reading while standing at LB TBM stake = 70 degrees E of magnetic N</t>
  </si>
  <si>
    <t>fish feeding in evening</t>
  </si>
  <si>
    <t>Compass reading while standing at LB TBM stake = 13 degrees E of magnetic N</t>
  </si>
  <si>
    <t>Compass reading while standing at LB TBM stake = 14 degrees E of magnetic N</t>
  </si>
  <si>
    <t>Compass reading while standing at LB TBM stake = 42 degrees E of magnetic N</t>
  </si>
  <si>
    <t>Compass reading while standing at LB TBM stake = 40 degrees E of magnetic N</t>
  </si>
  <si>
    <t>XS-6 @ 1+39, Lateral Scour Pool</t>
  </si>
  <si>
    <t>REW, vertical bank</t>
  </si>
  <si>
    <t>15 ft. downstream of steelhead redd</t>
  </si>
  <si>
    <t>Notes:  Survey ended 137 feet from Large pine with birdbox = TBM, bearing was 10 degrees E of magnetic North</t>
  </si>
  <si>
    <t>from pine looking back to Milk Creek at 6+31.  Pine is on LB, on west side of stream.</t>
  </si>
  <si>
    <t>Rosgen Level II Stream Classification--Highway Section versus Reference Reach</t>
  </si>
  <si>
    <t>Highway</t>
  </si>
  <si>
    <t>Reference</t>
  </si>
  <si>
    <t>Width/Depth Ratio</t>
  </si>
  <si>
    <t>Width of Flood-Prone Area (Wfpa)</t>
  </si>
  <si>
    <t>Entrenchment Ratio (ER)</t>
  </si>
  <si>
    <t>Water Surface Slope (S)</t>
  </si>
  <si>
    <t>Channel Sinousity (K)</t>
  </si>
  <si>
    <t>RATIO Pool/Riffle</t>
  </si>
  <si>
    <t>Bankful X-Section Area (Abkf) ft2</t>
  </si>
  <si>
    <t>Bankful Width (Wbkf), ft</t>
  </si>
  <si>
    <t>Mean Depth (Dbkf), ft</t>
  </si>
  <si>
    <t>Maximum Depth Dmbkf), ft</t>
  </si>
  <si>
    <t>Channel Materials D50, mm</t>
  </si>
  <si>
    <t>ROSGEN STREAM TYPE</t>
  </si>
  <si>
    <t>G4c</t>
  </si>
  <si>
    <t>Sinousity (k)=</t>
  </si>
  <si>
    <t xml:space="preserve">at time of survey.  Reference section still not at full potential.  Reference </t>
  </si>
  <si>
    <t>measurements are averages of 3 cross sections.</t>
  </si>
  <si>
    <t xml:space="preserve">Notes:  ER recorded on Highway section probably too high, snow on ground </t>
  </si>
  <si>
    <t xml:space="preserve">unit and generally provides poor fish habitat.   The "Reference" section has not yet reached </t>
  </si>
  <si>
    <t>adequate shade, good bank stability and a 50/50% pool/riffle ratio.  The channel might be classed</t>
  </si>
  <si>
    <t>as a C4/5 based on sinousity, or as an E4/5 (more advanced evolutionary channel) based on W/D ratio.</t>
  </si>
  <si>
    <t>The Highway section is an artificially steepened, and scoured but stable channel with only one pool</t>
  </si>
  <si>
    <t>RB</t>
  </si>
  <si>
    <t>LB</t>
  </si>
  <si>
    <t>FPA @  -50 ft??</t>
  </si>
  <si>
    <t>FPA width</t>
  </si>
  <si>
    <t>~</t>
  </si>
  <si>
    <t>Wbkf</t>
  </si>
  <si>
    <t>Dave</t>
  </si>
  <si>
    <t>CSA</t>
  </si>
  <si>
    <t xml:space="preserve">FPA @ ~170 ft. </t>
  </si>
  <si>
    <t>near edge of Hwy</t>
  </si>
  <si>
    <t>W/D ratio</t>
  </si>
  <si>
    <t>Stream type</t>
  </si>
  <si>
    <t>E4</t>
  </si>
  <si>
    <t>XS-4 @ 3+49, Riffle #1</t>
  </si>
  <si>
    <t>C4</t>
  </si>
  <si>
    <t>XS-5 @ 3+23, Riffle #2</t>
  </si>
  <si>
    <t>XS-7 @ 0+59, Riffle #3, fast riffle</t>
  </si>
  <si>
    <t>E4 (borderline C4)</t>
  </si>
  <si>
    <t>49.1/50.9%</t>
  </si>
  <si>
    <t>14.4/87.6%</t>
  </si>
  <si>
    <t>Total No. =</t>
  </si>
  <si>
    <t>meander</t>
  </si>
  <si>
    <t>length, (Lm)</t>
  </si>
  <si>
    <t>vertical bank</t>
  </si>
  <si>
    <t xml:space="preserve">Bankful </t>
  </si>
  <si>
    <t>n/a</t>
  </si>
  <si>
    <t xml:space="preserve">LEW, 0.2 uc at surface, </t>
  </si>
  <si>
    <t>0.7 UC max</t>
  </si>
  <si>
    <t xml:space="preserve">XS-1 @ 6+29, Glide #1 </t>
  </si>
  <si>
    <t>XS-3 @ 3+98, Glide  #2</t>
  </si>
  <si>
    <t>evolutionary potential but is in relatively good condition with dense hardswoods providing</t>
  </si>
  <si>
    <t>Valley lgth =</t>
  </si>
  <si>
    <t>Valley slope =</t>
  </si>
  <si>
    <t>Note:  Elevations in RED, or slope values in BOLD, Italics are estimates.</t>
  </si>
  <si>
    <t>Riffle</t>
  </si>
  <si>
    <t>Slopes</t>
  </si>
  <si>
    <t>Pool &amp;</t>
  </si>
  <si>
    <t>(Measurements taken moving Downstream)</t>
  </si>
  <si>
    <t xml:space="preserve">Set 3 ft rebar with aluminum cap at base of well </t>
  </si>
  <si>
    <t>Centerline</t>
  </si>
  <si>
    <t>Thalweg</t>
  </si>
  <si>
    <t>+ 11.14 ft. culvert upstream = 999.599 m =3279.48 ft.</t>
  </si>
  <si>
    <t>top riffle</t>
  </si>
  <si>
    <t>top pool 1</t>
  </si>
  <si>
    <t>apex pool 1</t>
  </si>
  <si>
    <t>top pool 2</t>
  </si>
  <si>
    <t>apex pool 2</t>
  </si>
  <si>
    <t>edge gravel</t>
  </si>
  <si>
    <t>apex pool 18</t>
  </si>
  <si>
    <t>apex pool 17</t>
  </si>
  <si>
    <t>top pool 3</t>
  </si>
  <si>
    <t>apex pool 3</t>
  </si>
  <si>
    <t>lower pool 3</t>
  </si>
  <si>
    <t>apex pool 4</t>
  </si>
  <si>
    <t>upper pool 5</t>
  </si>
  <si>
    <t>apex pool 5</t>
  </si>
  <si>
    <t>apex pool 6</t>
  </si>
  <si>
    <t>end riffle</t>
  </si>
  <si>
    <t>apex pool 7</t>
  </si>
  <si>
    <t>apex pool 8</t>
  </si>
  <si>
    <t>upper pool 9</t>
  </si>
  <si>
    <t>apex pool 9</t>
  </si>
  <si>
    <t>top pool 10</t>
  </si>
  <si>
    <t>apex pool 10</t>
  </si>
  <si>
    <t>end pool 10</t>
  </si>
  <si>
    <t>upper pool 11</t>
  </si>
  <si>
    <t>lower pool 11</t>
  </si>
  <si>
    <t>upper riffle</t>
  </si>
  <si>
    <t>upper pool 12</t>
  </si>
  <si>
    <t>apex pool 12</t>
  </si>
  <si>
    <t>lower pool 12</t>
  </si>
  <si>
    <t>apex pool 13</t>
  </si>
  <si>
    <t>apex pool 14</t>
  </si>
  <si>
    <t>apex pool 15</t>
  </si>
  <si>
    <t>apex pool 16</t>
  </si>
  <si>
    <t>top pool 17</t>
  </si>
  <si>
    <t>lower pool 16</t>
  </si>
  <si>
    <t>upper pool 14</t>
  </si>
  <si>
    <t>top riffle, (LB)</t>
  </si>
  <si>
    <t>lower pool 8</t>
  </si>
  <si>
    <t>mid riffle, CWS</t>
  </si>
  <si>
    <t>Sp/S =</t>
  </si>
  <si>
    <t>Sr/S=</t>
  </si>
  <si>
    <t>Slope =</t>
  </si>
  <si>
    <t>S pool =</t>
  </si>
  <si>
    <t>S riffle =</t>
  </si>
  <si>
    <t>d riffle =</t>
  </si>
  <si>
    <t>d pool =</t>
  </si>
  <si>
    <t>d-riffles =</t>
  </si>
  <si>
    <t>d pools =</t>
  </si>
  <si>
    <t>meters</t>
  </si>
  <si>
    <t>riffle, x-fence</t>
  </si>
  <si>
    <t>Water Slopes</t>
  </si>
  <si>
    <t>(Pool &amp;</t>
  </si>
  <si>
    <t>Riffle)</t>
  </si>
  <si>
    <t>change in</t>
  </si>
  <si>
    <t xml:space="preserve">Riffle </t>
  </si>
  <si>
    <t>Transition</t>
  </si>
  <si>
    <t>Pool</t>
  </si>
  <si>
    <t>Dmax</t>
  </si>
  <si>
    <t>(thalweg)</t>
  </si>
  <si>
    <t>typical</t>
  </si>
  <si>
    <t>GRADE</t>
  </si>
  <si>
    <t>Thalweg)</t>
  </si>
  <si>
    <t>(Transition</t>
  </si>
  <si>
    <t>Change</t>
  </si>
  <si>
    <t>x-section</t>
  </si>
  <si>
    <t>glide</t>
  </si>
  <si>
    <t>apex pool 11</t>
  </si>
  <si>
    <t>radius of</t>
  </si>
  <si>
    <t>curvature</t>
  </si>
  <si>
    <t>Feature</t>
  </si>
  <si>
    <t>pool to</t>
  </si>
  <si>
    <t>pool spacing</t>
  </si>
  <si>
    <t>Milk Creek: Proposed New Channel</t>
  </si>
  <si>
    <t>Station</t>
  </si>
  <si>
    <t>feature</t>
  </si>
  <si>
    <t>cut depth</t>
  </si>
  <si>
    <t>Pre-cut</t>
  </si>
  <si>
    <t>Well = BM = 100.00 ft.</t>
  </si>
  <si>
    <t>Width</t>
  </si>
  <si>
    <t>Hwy edge gravel</t>
  </si>
  <si>
    <t>MILK CREEK RESTORATION PROJECT</t>
  </si>
  <si>
    <t>Basin:  Catherine Creek</t>
  </si>
  <si>
    <t>Location:  T5S  R41E, Section 17</t>
  </si>
  <si>
    <t>X-Sect Area</t>
  </si>
  <si>
    <t>Ratio Pool Depth/Riffle Depth:  2.2</t>
  </si>
  <si>
    <t>Ratio Pool Width/Riffle Width:    0.72</t>
  </si>
  <si>
    <t>Ratio Pool Area/Riffle Area:       1.59</t>
  </si>
  <si>
    <t>Ratio Max Pool  Depth/Mean Bkf depth:   2.94</t>
  </si>
  <si>
    <t>Ratio Lowest  Bank Height/Max Bankful Depth:  1.2</t>
  </si>
  <si>
    <t>Mean Velocity:   5.12 ft/sec</t>
  </si>
  <si>
    <t>Meander Length:  103 ft (75-128)</t>
  </si>
  <si>
    <t>Ratio Lm/Wbkf:  8.9 (6.5-11.0)</t>
  </si>
  <si>
    <t>Ave. Water Slope:  0.0093</t>
  </si>
  <si>
    <t>Pool Slope:  0.005</t>
  </si>
  <si>
    <t>Riffle Slope:  0.014</t>
  </si>
  <si>
    <t>Pool to Pool Spacing:  64 (40-108)</t>
  </si>
  <si>
    <t>Mid-Riffle</t>
  </si>
  <si>
    <t xml:space="preserve">    Design Slope:</t>
  </si>
  <si>
    <t>POST-CONSTRUCTION</t>
  </si>
  <si>
    <t>riffle-uncut</t>
  </si>
  <si>
    <t>top run</t>
  </si>
  <si>
    <t>run</t>
  </si>
  <si>
    <t>mid-glide</t>
  </si>
  <si>
    <t>mid-run</t>
  </si>
  <si>
    <t>top pool</t>
  </si>
  <si>
    <t>top glide</t>
  </si>
  <si>
    <t>riffle-was 500'</t>
  </si>
  <si>
    <t>Belt Width:  65-150 ft.</t>
  </si>
  <si>
    <t>Radius Curvature:  19.4 (10.5-32.0)</t>
  </si>
  <si>
    <t>Discharge:  59.4 cfs (Manning's), 72 cfs (Regional Curve)</t>
  </si>
  <si>
    <t>Stream Type:  E4 (borderline C4)</t>
  </si>
  <si>
    <t>Pattern:</t>
  </si>
  <si>
    <t>Dimension:</t>
  </si>
  <si>
    <t>Profile:</t>
  </si>
  <si>
    <t>Ratio Rc/Wbkf:  1.7 (0.9-2.8)</t>
  </si>
  <si>
    <t>Valley Length:  827 ft.</t>
  </si>
  <si>
    <t>Stream Length: 1225 ft.</t>
  </si>
  <si>
    <t>K = 1.48</t>
  </si>
  <si>
    <t>Valley Slope:  0.0134</t>
  </si>
  <si>
    <t>Pool Length:  13 ft. (6-16)</t>
  </si>
  <si>
    <t xml:space="preserve">New Channel Design Criteria: </t>
  </si>
  <si>
    <t>Drainage Area:  9.3 Sq. Mi. (ups. Coldwater)</t>
  </si>
  <si>
    <t>Ratio Pool Length/Bankful Width =</t>
  </si>
  <si>
    <t>Ratio Pool to Pool Spacing/Bankful Width:  5.5</t>
  </si>
  <si>
    <t>Channel Materials:</t>
  </si>
  <si>
    <t>estimated D50 = 6.5 mm</t>
  </si>
  <si>
    <t>Existing</t>
  </si>
  <si>
    <t>ground</t>
  </si>
  <si>
    <t>Checked against  known elevation- from ODOT map</t>
  </si>
  <si>
    <t>Note:  these were measured along thalweg, not straightline</t>
  </si>
  <si>
    <t>ws</t>
  </si>
  <si>
    <t>old culvert invert =</t>
  </si>
  <si>
    <t>new culvert invert =</t>
  </si>
  <si>
    <t>bed slope =</t>
  </si>
  <si>
    <t>measured on 7-25-01</t>
  </si>
  <si>
    <t>WE existing channel</t>
  </si>
  <si>
    <t>BW, bridge CL ds</t>
  </si>
  <si>
    <t>BW, bridge CL up</t>
  </si>
  <si>
    <t>BW Pool</t>
  </si>
  <si>
    <t>apex x-vane2</t>
  </si>
  <si>
    <t>apex x-vane1</t>
  </si>
  <si>
    <t>Top bridge, north wing</t>
  </si>
  <si>
    <t>bottom bridge @ lip</t>
  </si>
  <si>
    <t>WE existing ds bridge</t>
  </si>
  <si>
    <t>BM-northwest</t>
  </si>
  <si>
    <t>WS at old culvert</t>
  </si>
  <si>
    <t>overflow to north (60')</t>
  </si>
  <si>
    <t>old culvert thalweg</t>
  </si>
  <si>
    <t>Actual</t>
  </si>
  <si>
    <t>ODOT (m/ft)</t>
  </si>
  <si>
    <t>planned thalweg at bridge</t>
  </si>
  <si>
    <t>Milk Creek Cross of New Channel (before water):</t>
  </si>
  <si>
    <t>BM = well @right pin</t>
  </si>
  <si>
    <t xml:space="preserve">XS-1 @ 2+38, @ POOL #4 </t>
  </si>
  <si>
    <t>top LPIN</t>
  </si>
  <si>
    <t>ground at LPIN</t>
  </si>
  <si>
    <t>photopoints 1-3</t>
  </si>
  <si>
    <t>Top bank</t>
  </si>
  <si>
    <t>bed ds side of Toe pin</t>
  </si>
  <si>
    <t>Toe Pin</t>
  </si>
  <si>
    <t>~LBKF</t>
  </si>
  <si>
    <t>~RBKF</t>
  </si>
  <si>
    <t xml:space="preserve">New XS-2 @ 2+70, RIFFLE </t>
  </si>
  <si>
    <t>Left pin marked with an aluminim cap at base of large pine</t>
  </si>
  <si>
    <t>Left pin marked with a t-post and aluminim cap 62 ft, 106 Degrees east of mag. north of large pine &amp; Lpin #2</t>
  </si>
  <si>
    <t>no water</t>
  </si>
  <si>
    <t>toe pin</t>
  </si>
  <si>
    <t>Toe pin set @ 90.5 ft.</t>
  </si>
  <si>
    <t>&amp; 0.19' above bed</t>
  </si>
  <si>
    <t>Top of LPIN</t>
  </si>
  <si>
    <t>Top of RPIN = aluminum cap at well</t>
  </si>
  <si>
    <t>Top of RPIN= Aluminum cap at well</t>
  </si>
  <si>
    <t>Photopoints 4-6</t>
  </si>
  <si>
    <t>Top Rbank</t>
  </si>
  <si>
    <t>Top of Lbank</t>
  </si>
  <si>
    <t>~Lbkf @ 84.5</t>
  </si>
  <si>
    <t>~Rbkf @ 95.6</t>
  </si>
  <si>
    <t>~FPA @ 99.87</t>
  </si>
  <si>
    <t>FPA @ 99.87</t>
  </si>
  <si>
    <t>toe pin @ 47.0', set 0.60' above bed</t>
  </si>
  <si>
    <t>NB 1/3 area=</t>
  </si>
  <si>
    <t>NB dave=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</si>
</sst>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\+00.00"/>
    <numFmt numFmtId="166" formatCode="0\+00"/>
    <numFmt numFmtId="167" formatCode="0.000%"/>
    <numFmt numFmtId="168" formatCode="0.0000"/>
    <numFmt numFmtId="169" formatCode="0.0000%"/>
    <numFmt numFmtId="170" formatCode="0.00000"/>
    <numFmt numFmtId="171" formatCode="0.0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5"/>
      <color indexed="10"/>
      <name val="Arial"/>
      <family val="2"/>
    </font>
    <font>
      <sz val="7"/>
      <color indexed="61"/>
      <name val="Arial"/>
      <family val="2"/>
    </font>
    <font>
      <sz val="7.25"/>
      <color indexed="18"/>
      <name val="Arial"/>
      <family val="2"/>
    </font>
    <font>
      <sz val="8"/>
      <color indexed="56"/>
      <name val="Arial"/>
      <family val="2"/>
    </font>
    <font>
      <sz val="8"/>
      <color indexed="1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17"/>
      <name val="Arial"/>
      <family val="2"/>
    </font>
    <font>
      <b/>
      <sz val="14"/>
      <color indexed="20"/>
      <name val="Arial"/>
      <family val="2"/>
    </font>
    <font>
      <b/>
      <sz val="10"/>
      <color indexed="2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color indexed="20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0"/>
      <color indexed="17"/>
      <name val="Arial"/>
      <family val="2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sz val="4.75"/>
      <name val="Arial"/>
      <family val="2"/>
    </font>
    <font>
      <b/>
      <sz val="4.75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1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2" fontId="8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166" fontId="0" fillId="0" borderId="0" xfId="0" applyNumberFormat="1" applyAlignment="1">
      <alignment/>
    </xf>
    <xf numFmtId="166" fontId="8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3" fillId="0" borderId="0" xfId="0" applyNumberFormat="1" applyFont="1" applyAlignment="1">
      <alignment horizontal="left"/>
    </xf>
    <xf numFmtId="166" fontId="8" fillId="0" borderId="2" xfId="0" applyNumberFormat="1" applyFont="1" applyBorder="1" applyAlignment="1">
      <alignment/>
    </xf>
    <xf numFmtId="166" fontId="0" fillId="0" borderId="2" xfId="0" applyNumberFormat="1" applyBorder="1" applyAlignment="1">
      <alignment/>
    </xf>
    <xf numFmtId="2" fontId="7" fillId="0" borderId="0" xfId="0" applyNumberFormat="1" applyFont="1" applyAlignment="1">
      <alignment/>
    </xf>
    <xf numFmtId="167" fontId="0" fillId="0" borderId="0" xfId="0" applyNumberFormat="1" applyAlignment="1">
      <alignment/>
    </xf>
    <xf numFmtId="166" fontId="7" fillId="0" borderId="0" xfId="0" applyNumberFormat="1" applyFont="1" applyAlignment="1">
      <alignment/>
    </xf>
    <xf numFmtId="2" fontId="0" fillId="0" borderId="0" xfId="0" applyNumberFormat="1" applyAlignment="1" quotePrefix="1">
      <alignment horizontal="left"/>
    </xf>
    <xf numFmtId="0" fontId="2" fillId="0" borderId="0" xfId="0" applyFont="1" applyAlignment="1">
      <alignment/>
    </xf>
    <xf numFmtId="2" fontId="7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right"/>
    </xf>
    <xf numFmtId="1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2" fontId="3" fillId="0" borderId="0" xfId="0" applyNumberFormat="1" applyFont="1" applyAlignment="1">
      <alignment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66" fontId="8" fillId="0" borderId="0" xfId="0" applyNumberFormat="1" applyFont="1" applyAlignment="1">
      <alignment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2" fontId="3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168" fontId="15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8" fontId="16" fillId="0" borderId="3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right"/>
    </xf>
    <xf numFmtId="2" fontId="15" fillId="0" borderId="2" xfId="0" applyNumberFormat="1" applyFont="1" applyBorder="1" applyAlignment="1">
      <alignment horizontal="right"/>
    </xf>
    <xf numFmtId="0" fontId="15" fillId="0" borderId="2" xfId="0" applyFont="1" applyBorder="1" applyAlignment="1">
      <alignment/>
    </xf>
    <xf numFmtId="1" fontId="15" fillId="0" borderId="0" xfId="0" applyNumberFormat="1" applyFont="1" applyAlignment="1">
      <alignment/>
    </xf>
    <xf numFmtId="10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 horizontal="right"/>
    </xf>
    <xf numFmtId="0" fontId="16" fillId="0" borderId="2" xfId="0" applyFont="1" applyBorder="1" applyAlignment="1">
      <alignment/>
    </xf>
    <xf numFmtId="1" fontId="16" fillId="0" borderId="0" xfId="0" applyNumberFormat="1" applyFont="1" applyAlignment="1">
      <alignment/>
    </xf>
    <xf numFmtId="10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67" fontId="17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0" fontId="7" fillId="0" borderId="0" xfId="0" applyFont="1" applyAlignment="1">
      <alignment/>
    </xf>
    <xf numFmtId="168" fontId="15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21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170" fontId="8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171" fontId="0" fillId="0" borderId="0" xfId="0" applyNumberFormat="1" applyAlignment="1">
      <alignment/>
    </xf>
    <xf numFmtId="2" fontId="16" fillId="0" borderId="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2" borderId="4" xfId="0" applyNumberFormat="1" applyFill="1" applyBorder="1" applyAlignment="1">
      <alignment/>
    </xf>
    <xf numFmtId="2" fontId="0" fillId="2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right"/>
    </xf>
    <xf numFmtId="2" fontId="0" fillId="3" borderId="5" xfId="0" applyNumberFormat="1" applyFill="1" applyBorder="1" applyAlignment="1">
      <alignment/>
    </xf>
    <xf numFmtId="2" fontId="0" fillId="3" borderId="5" xfId="0" applyNumberFormat="1" applyFill="1" applyBorder="1" applyAlignment="1">
      <alignment horizontal="right"/>
    </xf>
    <xf numFmtId="166" fontId="0" fillId="0" borderId="4" xfId="0" applyNumberFormat="1" applyBorder="1" applyAlignment="1">
      <alignment/>
    </xf>
    <xf numFmtId="2" fontId="8" fillId="0" borderId="4" xfId="0" applyNumberFormat="1" applyFont="1" applyBorder="1" applyAlignment="1">
      <alignment/>
    </xf>
    <xf numFmtId="2" fontId="8" fillId="0" borderId="4" xfId="0" applyNumberFormat="1" applyFont="1" applyBorder="1" applyAlignment="1">
      <alignment horizontal="right"/>
    </xf>
    <xf numFmtId="166" fontId="8" fillId="2" borderId="4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16" fillId="0" borderId="0" xfId="0" applyNumberFormat="1" applyFont="1" applyFill="1" applyAlignment="1">
      <alignment/>
    </xf>
    <xf numFmtId="166" fontId="0" fillId="0" borderId="3" xfId="0" applyNumberFormat="1" applyBorder="1" applyAlignment="1">
      <alignment/>
    </xf>
    <xf numFmtId="171" fontId="0" fillId="0" borderId="3" xfId="0" applyNumberFormat="1" applyBorder="1" applyAlignment="1">
      <alignment/>
    </xf>
    <xf numFmtId="168" fontId="0" fillId="0" borderId="3" xfId="0" applyNumberFormat="1" applyBorder="1" applyAlignment="1">
      <alignment/>
    </xf>
    <xf numFmtId="2" fontId="15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6" fontId="8" fillId="3" borderId="4" xfId="0" applyNumberFormat="1" applyFont="1" applyFill="1" applyBorder="1" applyAlignment="1">
      <alignment/>
    </xf>
    <xf numFmtId="166" fontId="8" fillId="4" borderId="4" xfId="0" applyNumberFormat="1" applyFont="1" applyFill="1" applyBorder="1" applyAlignment="1">
      <alignment/>
    </xf>
    <xf numFmtId="2" fontId="0" fillId="4" borderId="4" xfId="0" applyNumberFormat="1" applyFill="1" applyBorder="1" applyAlignment="1">
      <alignment/>
    </xf>
    <xf numFmtId="2" fontId="0" fillId="4" borderId="4" xfId="0" applyNumberFormat="1" applyFill="1" applyBorder="1" applyAlignment="1">
      <alignment horizontal="right"/>
    </xf>
    <xf numFmtId="166" fontId="24" fillId="0" borderId="0" xfId="0" applyNumberFormat="1" applyFont="1" applyAlignment="1">
      <alignment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left"/>
    </xf>
    <xf numFmtId="166" fontId="3" fillId="0" borderId="2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4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66" fontId="3" fillId="3" borderId="0" xfId="0" applyNumberFormat="1" applyFont="1" applyFill="1" applyBorder="1" applyAlignment="1">
      <alignment/>
    </xf>
    <xf numFmtId="2" fontId="3" fillId="0" borderId="4" xfId="0" applyNumberFormat="1" applyFont="1" applyBorder="1" applyAlignment="1">
      <alignment/>
    </xf>
    <xf numFmtId="2" fontId="7" fillId="4" borderId="4" xfId="0" applyNumberFormat="1" applyFont="1" applyFill="1" applyBorder="1" applyAlignment="1">
      <alignment/>
    </xf>
    <xf numFmtId="2" fontId="7" fillId="2" borderId="4" xfId="0" applyNumberFormat="1" applyFont="1" applyFill="1" applyBorder="1" applyAlignment="1">
      <alignment/>
    </xf>
    <xf numFmtId="2" fontId="7" fillId="3" borderId="5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66" fontId="3" fillId="5" borderId="0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2" fontId="16" fillId="0" borderId="3" xfId="0" applyNumberFormat="1" applyFont="1" applyFill="1" applyBorder="1" applyAlignment="1">
      <alignment/>
    </xf>
    <xf numFmtId="2" fontId="16" fillId="0" borderId="3" xfId="0" applyNumberFormat="1" applyFont="1" applyBorder="1" applyAlignment="1">
      <alignment/>
    </xf>
    <xf numFmtId="10" fontId="16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15" fillId="0" borderId="0" xfId="0" applyNumberFormat="1" applyFont="1" applyAlignment="1">
      <alignment/>
    </xf>
    <xf numFmtId="10" fontId="25" fillId="0" borderId="0" xfId="0" applyNumberFormat="1" applyFont="1" applyAlignment="1">
      <alignment/>
    </xf>
    <xf numFmtId="166" fontId="8" fillId="0" borderId="2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/>
    </xf>
    <xf numFmtId="1" fontId="0" fillId="0" borderId="0" xfId="0" applyNumberFormat="1" applyAlignment="1">
      <alignment/>
    </xf>
    <xf numFmtId="10" fontId="25" fillId="0" borderId="3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16" fillId="0" borderId="3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2" fontId="8" fillId="0" borderId="3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168" fontId="8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164" fontId="0" fillId="4" borderId="4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3" borderId="4" xfId="0" applyNumberForma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164" fontId="8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8" fillId="0" borderId="3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4" xfId="0" applyBorder="1" applyAlignment="1">
      <alignment/>
    </xf>
    <xf numFmtId="166" fontId="3" fillId="4" borderId="4" xfId="0" applyNumberFormat="1" applyFont="1" applyFill="1" applyBorder="1" applyAlignment="1">
      <alignment/>
    </xf>
    <xf numFmtId="2" fontId="0" fillId="0" borderId="4" xfId="0" applyNumberFormat="1" applyBorder="1" applyAlignment="1">
      <alignment/>
    </xf>
    <xf numFmtId="2" fontId="16" fillId="0" borderId="4" xfId="0" applyNumberFormat="1" applyFont="1" applyFill="1" applyBorder="1" applyAlignment="1">
      <alignment/>
    </xf>
    <xf numFmtId="164" fontId="0" fillId="0" borderId="4" xfId="0" applyNumberFormat="1" applyBorder="1" applyAlignment="1">
      <alignment/>
    </xf>
    <xf numFmtId="2" fontId="16" fillId="0" borderId="4" xfId="0" applyNumberFormat="1" applyFont="1" applyBorder="1" applyAlignment="1">
      <alignment/>
    </xf>
    <xf numFmtId="166" fontId="3" fillId="2" borderId="4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166" fontId="3" fillId="3" borderId="4" xfId="0" applyNumberFormat="1" applyFont="1" applyFill="1" applyBorder="1" applyAlignment="1">
      <alignment/>
    </xf>
    <xf numFmtId="2" fontId="15" fillId="0" borderId="4" xfId="0" applyNumberFormat="1" applyFont="1" applyFill="1" applyBorder="1" applyAlignment="1">
      <alignment/>
    </xf>
    <xf numFmtId="166" fontId="3" fillId="5" borderId="4" xfId="0" applyNumberFormat="1" applyFont="1" applyFill="1" applyBorder="1" applyAlignment="1">
      <alignment/>
    </xf>
    <xf numFmtId="2" fontId="14" fillId="0" borderId="4" xfId="0" applyNumberFormat="1" applyFont="1" applyBorder="1" applyAlignment="1">
      <alignment/>
    </xf>
    <xf numFmtId="166" fontId="0" fillId="0" borderId="4" xfId="0" applyNumberFormat="1" applyBorder="1" applyAlignment="1">
      <alignment horizontal="right"/>
    </xf>
    <xf numFmtId="166" fontId="0" fillId="0" borderId="4" xfId="0" applyNumberFormat="1" applyBorder="1" applyAlignment="1">
      <alignment horizontal="left"/>
    </xf>
    <xf numFmtId="166" fontId="8" fillId="3" borderId="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 horizontal="right"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10" xfId="0" applyBorder="1" applyAlignment="1">
      <alignment/>
    </xf>
    <xf numFmtId="2" fontId="17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28" fillId="0" borderId="3" xfId="0" applyNumberFormat="1" applyFont="1" applyFill="1" applyBorder="1" applyAlignment="1">
      <alignment/>
    </xf>
    <xf numFmtId="166" fontId="29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8" fillId="0" borderId="0" xfId="0" applyFont="1" applyAlignment="1">
      <alignment/>
    </xf>
    <xf numFmtId="0" fontId="33" fillId="0" borderId="0" xfId="0" applyFont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Creek at 0+59
 Cross Section 7, Riffle #3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212"/>
          <c:w val="0.8625"/>
          <c:h val="0.6435"/>
        </c:manualLayout>
      </c:layout>
      <c:scatterChart>
        <c:scatterStyle val="lineMarker"/>
        <c:varyColors val="0"/>
        <c:ser>
          <c:idx val="0"/>
          <c:order val="0"/>
          <c:tx>
            <c:v>Bed/Ground Elevation  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'XS7-R3 '!$A$8:$A$49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'XS7-R3 '!$D$8:$D$49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Water Surface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'XS7-R3 '!$A$8:$A$49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'XS7-R3 '!$G$8:$G$49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Bankful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'XS7-R3 '!$A$8:$A$49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'XS7-R3 '!$J$8:$J$49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FPA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'XS7-R3 '!$A$8:$A$49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'XS7-R3 '!$K$8:$K$49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30904324"/>
        <c:axId val="9703461"/>
      </c:scatterChart>
      <c:valAx>
        <c:axId val="3090432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(ft),  LB to RB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03461"/>
        <c:crossesAt val="99"/>
        <c:crossBetween val="midCat"/>
        <c:dispUnits/>
        <c:majorUnit val="5"/>
        <c:minorUnit val="1"/>
      </c:valAx>
      <c:valAx>
        <c:axId val="9703461"/>
        <c:scaling>
          <c:orientation val="minMax"/>
          <c:max val="104"/>
          <c:min val="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904324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Creek at 3+98
 Cross Section 3, Glide #2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24725"/>
          <c:w val="0.862"/>
          <c:h val="0.58225"/>
        </c:manualLayout>
      </c:layout>
      <c:scatterChart>
        <c:scatterStyle val="lineMarker"/>
        <c:varyColors val="0"/>
        <c:ser>
          <c:idx val="0"/>
          <c:order val="0"/>
          <c:tx>
            <c:v>Bed/Ground Elevation  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'XS3-G2 '!$A$14:$A$34</c:f>
              <c:numCache/>
            </c:numRef>
          </c:xVal>
          <c:yVal>
            <c:numRef>
              <c:f>'XS3-G2 '!$D$14:$D$34</c:f>
              <c:numCache/>
            </c:numRef>
          </c:yVal>
          <c:smooth val="0"/>
        </c:ser>
        <c:ser>
          <c:idx val="1"/>
          <c:order val="1"/>
          <c:tx>
            <c:v>Water Surface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'XS3-G2 '!$A$14:$A$34</c:f>
              <c:numCache/>
            </c:numRef>
          </c:xVal>
          <c:yVal>
            <c:numRef>
              <c:f>'XS3-G2 '!$G$14:$G$34</c:f>
              <c:numCache/>
            </c:numRef>
          </c:yVal>
          <c:smooth val="0"/>
        </c:ser>
        <c:ser>
          <c:idx val="3"/>
          <c:order val="2"/>
          <c:tx>
            <c:v>Bankful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'XS3-G2 '!$A$14:$A$34</c:f>
              <c:numCache/>
            </c:numRef>
          </c:xVal>
          <c:yVal>
            <c:numRef>
              <c:f>'XS3-G2 '!$J$14:$J$34</c:f>
              <c:numCache/>
            </c:numRef>
          </c:yVal>
          <c:smooth val="0"/>
        </c:ser>
        <c:ser>
          <c:idx val="2"/>
          <c:order val="3"/>
          <c:tx>
            <c:v>FPA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'XS3-G2 '!$A$14:$A$34</c:f>
              <c:numCache/>
            </c:numRef>
          </c:xVal>
          <c:yVal>
            <c:numRef>
              <c:f>'XS3-G2 '!$K$14:$K$34</c:f>
              <c:numCache/>
            </c:numRef>
          </c:yVal>
          <c:smooth val="0"/>
        </c:ser>
        <c:axId val="34989086"/>
        <c:axId val="46466319"/>
      </c:scatterChart>
      <c:valAx>
        <c:axId val="34989086"/>
        <c:scaling>
          <c:orientation val="minMax"/>
          <c:max val="6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(ft),  LB to RB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66319"/>
        <c:crossesAt val="102"/>
        <c:crossBetween val="midCat"/>
        <c:dispUnits/>
        <c:majorUnit val="5"/>
        <c:minorUnit val="1"/>
      </c:valAx>
      <c:valAx>
        <c:axId val="46466319"/>
        <c:scaling>
          <c:orientation val="minMax"/>
          <c:max val="107"/>
          <c:min val="1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989086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Creek at 5+77
 Cross Section 2, Deep Pool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165"/>
          <c:w val="0.85775"/>
          <c:h val="0.63"/>
        </c:manualLayout>
      </c:layout>
      <c:scatterChart>
        <c:scatterStyle val="lineMarker"/>
        <c:varyColors val="0"/>
        <c:ser>
          <c:idx val="0"/>
          <c:order val="0"/>
          <c:tx>
            <c:v>Bed/Ground Elevation  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'XS2-P1 '!$A$8:$A$43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'XS2-P1 '!$D$8:$D$43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Water Surface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'XS2-P1 '!$A$8:$A$43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'XS2-P1 '!$G$8:$G$43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Bankful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'XS2-P1 '!$A$8:$A$43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'XS2-P1 '!$J$8:$J$43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15543688"/>
        <c:axId val="5675465"/>
      </c:scatterChart>
      <c:valAx>
        <c:axId val="1554368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(ft),  LB to RB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5465"/>
        <c:crossesAt val="103"/>
        <c:crossBetween val="midCat"/>
        <c:dispUnits/>
        <c:majorUnit val="5"/>
        <c:minorUnit val="1"/>
      </c:valAx>
      <c:valAx>
        <c:axId val="5675465"/>
        <c:scaling>
          <c:orientation val="minMax"/>
          <c:max val="108"/>
          <c:min val="1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43688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Creek at 5+77
 Cross Section 2, Deep Pool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9"/>
          <c:w val="0.85775"/>
          <c:h val="0.57225"/>
        </c:manualLayout>
      </c:layout>
      <c:scatterChart>
        <c:scatterStyle val="lineMarker"/>
        <c:varyColors val="0"/>
        <c:ser>
          <c:idx val="0"/>
          <c:order val="0"/>
          <c:tx>
            <c:v>Bed/Ground Elevation  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'XS2-P1 '!$A$8:$A$43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'XS2-P1 '!$D$8:$D$43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Water Surface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'XS2-P1 '!$A$8:$A$43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'XS2-P1 '!$G$8:$G$43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Bankful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'XS2-P1 '!$A$8:$A$43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'XS2-P1 '!$J$8:$J$43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51079186"/>
        <c:axId val="57059491"/>
      </c:scatterChart>
      <c:valAx>
        <c:axId val="51079186"/>
        <c:scaling>
          <c:orientation val="minMax"/>
          <c:max val="7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(ft),  LB to RB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59491"/>
        <c:crossesAt val="103"/>
        <c:crossBetween val="midCat"/>
        <c:dispUnits/>
        <c:majorUnit val="5"/>
        <c:minorUnit val="1"/>
      </c:valAx>
      <c:valAx>
        <c:axId val="57059491"/>
        <c:scaling>
          <c:orientation val="minMax"/>
          <c:max val="108"/>
          <c:min val="1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79186"/>
        <c:crossesAt val="40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Creek at 6+29
 Cross Section 1, Glide #1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5625"/>
          <c:w val="0.88225"/>
          <c:h val="0.754"/>
        </c:manualLayout>
      </c:layout>
      <c:scatterChart>
        <c:scatterStyle val="lineMarker"/>
        <c:varyColors val="0"/>
        <c:ser>
          <c:idx val="0"/>
          <c:order val="0"/>
          <c:tx>
            <c:v>Bed/Ground Elevation  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'XS1-G1'!$A$8:$A$40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'XS1-G1'!$D$8:$D$40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Water Surface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'XS1-G1'!$A$8:$A$40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'XS1-G1'!$G$8:$G$40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Bankful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'XS1-G1'!$A$8:$A$40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'XS1-G1'!$J$8:$J$40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FPA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'XS1-G1'!$A$8:$A$40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'XS1-G1'!$K$8:$K$40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axId val="43773372"/>
        <c:axId val="58416029"/>
      </c:scatterChart>
      <c:valAx>
        <c:axId val="4377337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(ft),  LB to RB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416029"/>
        <c:crossesAt val="104"/>
        <c:crossBetween val="midCat"/>
        <c:dispUnits/>
        <c:majorUnit val="5"/>
        <c:minorUnit val="1"/>
      </c:valAx>
      <c:valAx>
        <c:axId val="58416029"/>
        <c:scaling>
          <c:orientation val="minMax"/>
          <c:max val="109"/>
          <c:min val="1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73372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9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Creek at 6+29
 Cross Section 1, Glide #1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55"/>
          <c:w val="0.86075"/>
          <c:h val="0.503"/>
        </c:manualLayout>
      </c:layout>
      <c:scatterChart>
        <c:scatterStyle val="lineMarker"/>
        <c:varyColors val="0"/>
        <c:ser>
          <c:idx val="0"/>
          <c:order val="0"/>
          <c:tx>
            <c:v>Bed/Ground Elevation  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'XS1-G1'!$A$12:$A$35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'XS1-G1'!$D$12:$D$35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Water Surface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'XS1-G1'!$A$12:$A$35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'XS1-G1'!$G$12:$G$35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Bankful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'XS1-G1'!$A$12:$A$35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'XS1-G1'!$J$12:$J$35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FPA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'XS1-G1'!$A$12:$A$35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'XS1-G1'!$K$12:$K$35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55982214"/>
        <c:axId val="34077879"/>
      </c:scatterChart>
      <c:valAx>
        <c:axId val="55982214"/>
        <c:scaling>
          <c:orientation val="minMax"/>
          <c:max val="7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(ft),  LB to RB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77879"/>
        <c:crossesAt val="104"/>
        <c:crossBetween val="midCat"/>
        <c:dispUnits/>
        <c:majorUnit val="5"/>
        <c:minorUnit val="1"/>
      </c:valAx>
      <c:valAx>
        <c:axId val="34077879"/>
        <c:scaling>
          <c:orientation val="minMax"/>
          <c:max val="109"/>
          <c:min val="1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82214"/>
        <c:crossesAt val="40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Creek at 2+70
 Cross Section 2, RIFFLE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575"/>
          <c:w val="0.8825"/>
          <c:h val="0.717"/>
        </c:manualLayout>
      </c:layout>
      <c:scatterChart>
        <c:scatterStyle val="lineMarker"/>
        <c:varyColors val="0"/>
        <c:ser>
          <c:idx val="0"/>
          <c:order val="0"/>
          <c:tx>
            <c:v>Bed/Ground Elevation  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'NEW xs2'!$A$8:$A$74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xVal>
          <c:yVal>
            <c:numRef>
              <c:f>'NEW xs2'!$D$8:$D$74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Water Surface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'XS1-G1'!$A$8:$A$40</c:f>
              <c:numCache>
                <c:ptCount val="3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48</c:v>
                </c:pt>
                <c:pt idx="11">
                  <c:v>48.2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54</c:v>
                </c:pt>
                <c:pt idx="18">
                  <c:v>55</c:v>
                </c:pt>
                <c:pt idx="19">
                  <c:v>56</c:v>
                </c:pt>
                <c:pt idx="20">
                  <c:v>57</c:v>
                </c:pt>
                <c:pt idx="21">
                  <c:v>57.5</c:v>
                </c:pt>
                <c:pt idx="22">
                  <c:v>58</c:v>
                </c:pt>
                <c:pt idx="23">
                  <c:v>58.9</c:v>
                </c:pt>
                <c:pt idx="24">
                  <c:v>60</c:v>
                </c:pt>
                <c:pt idx="25">
                  <c:v>65</c:v>
                </c:pt>
                <c:pt idx="26">
                  <c:v>70</c:v>
                </c:pt>
                <c:pt idx="27">
                  <c:v>75</c:v>
                </c:pt>
                <c:pt idx="28">
                  <c:v>80</c:v>
                </c:pt>
                <c:pt idx="29">
                  <c:v>85</c:v>
                </c:pt>
                <c:pt idx="30">
                  <c:v>90</c:v>
                </c:pt>
                <c:pt idx="31">
                  <c:v>95</c:v>
                </c:pt>
                <c:pt idx="32">
                  <c:v>100</c:v>
                </c:pt>
              </c:numCache>
            </c:numRef>
          </c:xVal>
          <c:yVal>
            <c:numRef>
              <c:f>'XS1-G1'!$G$8:$G$40</c:f>
              <c:numCache>
                <c:ptCount val="33"/>
                <c:pt idx="11">
                  <c:v>105.93</c:v>
                </c:pt>
                <c:pt idx="12">
                  <c:v>105.92999999999999</c:v>
                </c:pt>
                <c:pt idx="13">
                  <c:v>105.99</c:v>
                </c:pt>
                <c:pt idx="14">
                  <c:v>105.74000000000001</c:v>
                </c:pt>
                <c:pt idx="15">
                  <c:v>105.83000000000001</c:v>
                </c:pt>
                <c:pt idx="16">
                  <c:v>105.78</c:v>
                </c:pt>
                <c:pt idx="17">
                  <c:v>105.83</c:v>
                </c:pt>
                <c:pt idx="18">
                  <c:v>105.87</c:v>
                </c:pt>
                <c:pt idx="19">
                  <c:v>105.91</c:v>
                </c:pt>
                <c:pt idx="20">
                  <c:v>105.91</c:v>
                </c:pt>
                <c:pt idx="21">
                  <c:v>105.91</c:v>
                </c:pt>
              </c:numCache>
            </c:numRef>
          </c:yVal>
          <c:smooth val="0"/>
        </c:ser>
        <c:ser>
          <c:idx val="3"/>
          <c:order val="2"/>
          <c:tx>
            <c:v>Bankful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'NEW xs2'!$A$8:$A$74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xVal>
          <c:yVal>
            <c:numRef>
              <c:f>'NEW xs2'!$J$8:$J$74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FPA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'NEW xs2'!$A$8:$A$74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xVal>
          <c:yVal>
            <c:numRef>
              <c:f>'NEW xs2'!$K$8:$K$74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Toe Pin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'NEW xs2'!$A$8:$A$74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xVal>
          <c:yVal>
            <c:numRef>
              <c:f>'NEW xs2'!$I$8:$I$74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</c:ser>
        <c:axId val="38265456"/>
        <c:axId val="8844785"/>
      </c:scatterChart>
      <c:valAx>
        <c:axId val="3826545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(ft),  LB to RB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44785"/>
        <c:crossesAt val="96"/>
        <c:crossBetween val="midCat"/>
        <c:dispUnits/>
        <c:majorUnit val="10"/>
        <c:minorUnit val="5"/>
      </c:valAx>
      <c:valAx>
        <c:axId val="8844785"/>
        <c:scaling>
          <c:orientation val="minMax"/>
          <c:max val="102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265456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Creek at 2+70
 Cross Section 2, RIFFLE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65"/>
          <c:w val="0.88325"/>
          <c:h val="0.7185"/>
        </c:manualLayout>
      </c:layout>
      <c:scatterChart>
        <c:scatterStyle val="lineMarker"/>
        <c:varyColors val="0"/>
        <c:ser>
          <c:idx val="0"/>
          <c:order val="0"/>
          <c:tx>
            <c:v>Bed/Ground Elevation  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'NEW xs2'!$A$8:$A$74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xVal>
          <c:yVal>
            <c:numRef>
              <c:f>'NEW xs2'!$D$8:$D$74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Water Surface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'XS1-G1'!$A$8:$A$40</c:f>
              <c:numCache>
                <c:ptCount val="3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48</c:v>
                </c:pt>
                <c:pt idx="11">
                  <c:v>48.2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54</c:v>
                </c:pt>
                <c:pt idx="18">
                  <c:v>55</c:v>
                </c:pt>
                <c:pt idx="19">
                  <c:v>56</c:v>
                </c:pt>
                <c:pt idx="20">
                  <c:v>57</c:v>
                </c:pt>
                <c:pt idx="21">
                  <c:v>57.5</c:v>
                </c:pt>
                <c:pt idx="22">
                  <c:v>58</c:v>
                </c:pt>
                <c:pt idx="23">
                  <c:v>58.9</c:v>
                </c:pt>
                <c:pt idx="24">
                  <c:v>60</c:v>
                </c:pt>
                <c:pt idx="25">
                  <c:v>65</c:v>
                </c:pt>
                <c:pt idx="26">
                  <c:v>70</c:v>
                </c:pt>
                <c:pt idx="27">
                  <c:v>75</c:v>
                </c:pt>
                <c:pt idx="28">
                  <c:v>80</c:v>
                </c:pt>
                <c:pt idx="29">
                  <c:v>85</c:v>
                </c:pt>
                <c:pt idx="30">
                  <c:v>90</c:v>
                </c:pt>
                <c:pt idx="31">
                  <c:v>95</c:v>
                </c:pt>
                <c:pt idx="32">
                  <c:v>100</c:v>
                </c:pt>
              </c:numCache>
            </c:numRef>
          </c:xVal>
          <c:yVal>
            <c:numRef>
              <c:f>'XS1-G1'!$G$8:$G$40</c:f>
              <c:numCache>
                <c:ptCount val="33"/>
                <c:pt idx="11">
                  <c:v>105.93</c:v>
                </c:pt>
                <c:pt idx="12">
                  <c:v>105.92999999999999</c:v>
                </c:pt>
                <c:pt idx="13">
                  <c:v>105.99</c:v>
                </c:pt>
                <c:pt idx="14">
                  <c:v>105.74000000000001</c:v>
                </c:pt>
                <c:pt idx="15">
                  <c:v>105.83000000000001</c:v>
                </c:pt>
                <c:pt idx="16">
                  <c:v>105.78</c:v>
                </c:pt>
                <c:pt idx="17">
                  <c:v>105.83</c:v>
                </c:pt>
                <c:pt idx="18">
                  <c:v>105.87</c:v>
                </c:pt>
                <c:pt idx="19">
                  <c:v>105.91</c:v>
                </c:pt>
                <c:pt idx="20">
                  <c:v>105.91</c:v>
                </c:pt>
                <c:pt idx="21">
                  <c:v>105.91</c:v>
                </c:pt>
              </c:numCache>
            </c:numRef>
          </c:yVal>
          <c:smooth val="0"/>
        </c:ser>
        <c:ser>
          <c:idx val="3"/>
          <c:order val="2"/>
          <c:tx>
            <c:v>Bankful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'NEW xs2'!$A$8:$A$74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xVal>
          <c:yVal>
            <c:numRef>
              <c:f>'NEW xs2'!$J$8:$J$74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FPA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'NEW xs2'!$A$8:$A$74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xVal>
          <c:yVal>
            <c:numRef>
              <c:f>'NEW xs2'!$K$8:$K$74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Toe Pin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'NEW xs2'!$A$8:$A$74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xVal>
          <c:yVal>
            <c:numRef>
              <c:f>'NEW xs2'!$I$8:$I$74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</c:ser>
        <c:axId val="12494202"/>
        <c:axId val="45338955"/>
      </c:scatterChart>
      <c:valAx>
        <c:axId val="12494202"/>
        <c:scaling>
          <c:orientation val="minMax"/>
          <c:max val="103"/>
          <c:min val="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(ft),  LB to RB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38955"/>
        <c:crossesAt val="96"/>
        <c:crossBetween val="midCat"/>
        <c:dispUnits/>
        <c:majorUnit val="2"/>
        <c:minorUnit val="1"/>
      </c:valAx>
      <c:valAx>
        <c:axId val="45338955"/>
        <c:scaling>
          <c:orientation val="minMax"/>
          <c:max val="102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494202"/>
        <c:crossesAt val="79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Creek at 2+38
 Cross Section 1, POOL #4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525"/>
          <c:w val="0.88225"/>
          <c:h val="0.76025"/>
        </c:manualLayout>
      </c:layout>
      <c:scatterChart>
        <c:scatterStyle val="lineMarker"/>
        <c:varyColors val="0"/>
        <c:ser>
          <c:idx val="0"/>
          <c:order val="0"/>
          <c:tx>
            <c:v>Bed/Ground Elevation  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'NEW xs1'!$A$8:$A$62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'NEW xs1'!$D$8:$D$62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Water Surface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'NEW xs1'!$A$8:$A$62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'NEW xs1'!$G$8:$G$62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Bankful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'NEW xs1'!$A$8:$A$62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'NEW xs1'!$J$8:$J$62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FPA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'NEW xs1'!$A$8:$A$62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'NEW xs1'!$K$8:$K$63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axId val="5397412"/>
        <c:axId val="48576709"/>
      </c:scatterChart>
      <c:valAx>
        <c:axId val="5397412"/>
        <c:scaling>
          <c:orientation val="minMax"/>
          <c:max val="1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(ft),  LB to RB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76709"/>
        <c:crossesAt val="90"/>
        <c:crossBetween val="midCat"/>
        <c:dispUnits/>
        <c:majorUnit val="10"/>
        <c:minorUnit val="5"/>
      </c:valAx>
      <c:valAx>
        <c:axId val="48576709"/>
        <c:scaling>
          <c:orientation val="minMax"/>
          <c:max val="102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7412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"/>
          <c:y val="0.94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Creek at 2+38
 Cross Section 1, POOL #4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725"/>
          <c:w val="0.88825"/>
          <c:h val="0.7105"/>
        </c:manualLayout>
      </c:layout>
      <c:scatterChart>
        <c:scatterStyle val="lineMarker"/>
        <c:varyColors val="0"/>
        <c:ser>
          <c:idx val="0"/>
          <c:order val="0"/>
          <c:tx>
            <c:v>Bed/Ground Elevation  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'NEW xs1'!$A$8:$A$62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'NEW xs1'!$D$8:$D$62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Water Surface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'NEW xs1'!$A$8:$A$62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'NEW xs1'!$G$8:$G$62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Bankful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'NEW xs1'!$A$8:$A$62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'NEW xs1'!$J$8:$J$62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toe pin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'NEW xs1'!$A$8:$A$6135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'NEW xs1'!$I$8:$I$62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axId val="34537198"/>
        <c:axId val="42399327"/>
      </c:scatterChart>
      <c:valAx>
        <c:axId val="34537198"/>
        <c:scaling>
          <c:orientation val="minMax"/>
          <c:max val="61"/>
          <c:min val="3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(ft),  LB to RB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99327"/>
        <c:crossesAt val="90"/>
        <c:crossBetween val="midCat"/>
        <c:dispUnits/>
        <c:majorUnit val="2"/>
        <c:minorUnit val="1"/>
      </c:valAx>
      <c:valAx>
        <c:axId val="42399327"/>
        <c:scaling>
          <c:orientation val="minMax"/>
          <c:max val="102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37198"/>
        <c:crossesAt val="37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Milk Creek Longitudinal Profile of New Channel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Bankful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'Long. Pro. NEW'!$I$12:$I$72</c:f>
              <c:numCache/>
            </c:numRef>
          </c:xVal>
          <c:yVal>
            <c:numRef>
              <c:f>'Long. Pro. NEW'!$O$12:$O$72</c:f>
              <c:numCache/>
            </c:numRef>
          </c:yVal>
          <c:smooth val="0"/>
        </c:ser>
        <c:ser>
          <c:idx val="0"/>
          <c:order val="1"/>
          <c:tx>
            <c:v>Thalweg-Planned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'Long. Pro. NEW'!$I$12:$I$72</c:f>
              <c:numCache/>
            </c:numRef>
          </c:xVal>
          <c:yVal>
            <c:numRef>
              <c:f>'Long. Pro. NEW'!$Q$12:$Q$72</c:f>
              <c:numCache/>
            </c:numRef>
          </c:yVal>
          <c:smooth val="0"/>
        </c:ser>
        <c:ser>
          <c:idx val="2"/>
          <c:order val="2"/>
          <c:tx>
            <c:v>Pre-Cut Centerline</c:v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FF00"/>
              </a:solidFill>
              <a:ln>
                <a:solidFill>
                  <a:srgbClr val="339933"/>
                </a:solidFill>
              </a:ln>
            </c:spPr>
          </c:marker>
          <c:xVal>
            <c:numRef>
              <c:f>'Long. Pro. NEW'!$I$12:$I$72</c:f>
              <c:numCache/>
            </c:numRef>
          </c:xVal>
          <c:yVal>
            <c:numRef>
              <c:f>'Long. Pro. NEW'!$M$12:$M$72</c:f>
              <c:numCache/>
            </c:numRef>
          </c:yVal>
          <c:smooth val="0"/>
        </c:ser>
        <c:ser>
          <c:idx val="3"/>
          <c:order val="3"/>
          <c:tx>
            <c:v>Water</c:v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xVal>
            <c:numRef>
              <c:f>'Long. Pro. NEW'!$I$12:$I$72</c:f>
              <c:numCache/>
            </c:numRef>
          </c:xVal>
          <c:yVal>
            <c:numRef>
              <c:f>'Long. Pro. NEW'!$P$12:$P$72</c:f>
              <c:numCache/>
            </c:numRef>
          </c:yVal>
          <c:smooth val="0"/>
        </c:ser>
        <c:ser>
          <c:idx val="4"/>
          <c:order val="4"/>
          <c:tx>
            <c:v>Grade=0.93%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'Long. Pro. NEW'!$I$12:$I$72</c:f>
              <c:numCache/>
            </c:numRef>
          </c:xVal>
          <c:yVal>
            <c:numRef>
              <c:f>'Long. Pro. NEW'!$R$12:$R$72</c:f>
              <c:numCache/>
            </c:numRef>
          </c:yVal>
          <c:smooth val="0"/>
        </c:ser>
        <c:ser>
          <c:idx val="5"/>
          <c:order val="5"/>
          <c:tx>
            <c:v>Thalweg-final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'Long. Pro. NEW'!$D$12:$D$158</c:f>
              <c:numCache/>
            </c:numRef>
          </c:xVal>
          <c:yVal>
            <c:numRef>
              <c:f>'Long. Pro. NEW'!$G$12:$G$158</c:f>
              <c:numCache/>
            </c:numRef>
          </c:yVal>
          <c:smooth val="0"/>
        </c:ser>
        <c:axId val="46049624"/>
        <c:axId val="11793433"/>
      </c:scatterChart>
      <c:valAx>
        <c:axId val="46049624"/>
        <c:scaling>
          <c:orientation val="minMax"/>
          <c:max val="1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Station-Distance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93433"/>
        <c:crossesAt val="86"/>
        <c:crossBetween val="midCat"/>
        <c:dispUnits/>
        <c:majorUnit val="50"/>
        <c:minorUnit val="10"/>
      </c:valAx>
      <c:valAx>
        <c:axId val="11793433"/>
        <c:scaling>
          <c:orientation val="minMax"/>
          <c:max val="1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crossAx val="46049624"/>
        <c:crossesAt val="0"/>
        <c:crossBetween val="midCat"/>
        <c:dispUnits/>
        <c:majorUnit val="1"/>
        <c:minorUnit val="0.204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Creek at 0+59
 Cross Section 7, Riffle #3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24075"/>
          <c:w val="0.8625"/>
          <c:h val="0.59025"/>
        </c:manualLayout>
      </c:layout>
      <c:scatterChart>
        <c:scatterStyle val="lineMarker"/>
        <c:varyColors val="0"/>
        <c:ser>
          <c:idx val="0"/>
          <c:order val="0"/>
          <c:tx>
            <c:v>Bed/Ground Elevation  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'XS7-R3 '!$A$8:$A$49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'XS7-R3 '!$D$8:$D$49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Water Surface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'XS7-R3 '!$A$8:$A$49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'XS7-R3 '!$G$8:$G$49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Bankful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'XS7-R3 '!$A$8:$A$49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'XS7-R3 '!$J$8:$J$49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FPA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'XS7-R3 '!$A$8:$A$49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'XS7-R3 '!$K$8:$K$49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20222286"/>
        <c:axId val="47782847"/>
      </c:scatterChart>
      <c:valAx>
        <c:axId val="20222286"/>
        <c:scaling>
          <c:orientation val="minMax"/>
          <c:max val="65"/>
          <c:min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(ft),  LB to RB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82847"/>
        <c:crossesAt val="99"/>
        <c:crossBetween val="midCat"/>
        <c:dispUnits/>
        <c:majorUnit val="5"/>
        <c:minorUnit val="1"/>
      </c:valAx>
      <c:valAx>
        <c:axId val="47782847"/>
        <c:scaling>
          <c:orientation val="minMax"/>
          <c:max val="104"/>
          <c:min val="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222286"/>
        <c:crossesAt val="35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Creek Reference Reach,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Longitudinal Profile Upstream of Project, 6/2000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Water Surface</c:v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'Long. Profile Ref.'!$A$14:$A$65</c:f>
              <c:numCache/>
            </c:numRef>
          </c:xVal>
          <c:yVal>
            <c:numRef>
              <c:f>'Long. Profile Ref.'!$H$14:$H$65</c:f>
              <c:numCache/>
            </c:numRef>
          </c:yVal>
          <c:smooth val="0"/>
        </c:ser>
        <c:ser>
          <c:idx val="0"/>
          <c:order val="1"/>
          <c:tx>
            <c:v>Bed Elevation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'Long. Profile Ref.'!$A$14:$A$65</c:f>
              <c:numCache/>
            </c:numRef>
          </c:xVal>
          <c:yVal>
            <c:numRef>
              <c:f>'Long. Profile Ref.'!$E$14:$E$65</c:f>
              <c:numCache/>
            </c:numRef>
          </c:yVal>
          <c:smooth val="0"/>
        </c:ser>
        <c:axId val="39032034"/>
        <c:axId val="15743987"/>
      </c:scatterChart>
      <c:valAx>
        <c:axId val="39032034"/>
        <c:scaling>
          <c:orientation val="minMax"/>
          <c:max val="6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Station-Distance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43987"/>
        <c:crossesAt val="97"/>
        <c:crossBetween val="midCat"/>
        <c:dispUnits/>
        <c:majorUnit val="25"/>
        <c:minorUnit val="5"/>
      </c:valAx>
      <c:valAx>
        <c:axId val="15743987"/>
        <c:scaling>
          <c:orientation val="minMax"/>
          <c:max val="107"/>
          <c:min val="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crossAx val="39032034"/>
        <c:crosses val="autoZero"/>
        <c:crossBetween val="midCat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Creek at 1+39
 Cross Section 6, Lateral Scour Pool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2135"/>
          <c:w val="0.862"/>
          <c:h val="0.639"/>
        </c:manualLayout>
      </c:layout>
      <c:scatterChart>
        <c:scatterStyle val="lineMarker"/>
        <c:varyColors val="0"/>
        <c:ser>
          <c:idx val="0"/>
          <c:order val="0"/>
          <c:tx>
            <c:v>Bed/Ground Elevation  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'XS6-P2'!$A$8:$A$44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'XS6-P2'!$D$8:$D$44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Water Surface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'XS6-P2'!$A$8:$A$44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'XS6-P2'!$G$8:$G$44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Bankful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'XS6-P2'!$A$8:$A$44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'XS6-P2'!$J$8:$J$44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FPA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'XS6-P2'!$A$8:$A$44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'XS6-P2'!$K$8:$K$44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27392440"/>
        <c:axId val="45205369"/>
      </c:scatterChart>
      <c:valAx>
        <c:axId val="2739244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(ft),  LB to RB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05369"/>
        <c:crossesAt val="99"/>
        <c:crossBetween val="midCat"/>
        <c:dispUnits/>
        <c:majorUnit val="5"/>
        <c:minorUnit val="1"/>
      </c:valAx>
      <c:valAx>
        <c:axId val="45205369"/>
        <c:scaling>
          <c:orientation val="minMax"/>
          <c:max val="104"/>
          <c:min val="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9244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Creek at 1+39
 Cross Section 6, Lateral Scour Pool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25375"/>
          <c:w val="0.862"/>
          <c:h val="0.566"/>
        </c:manualLayout>
      </c:layout>
      <c:scatterChart>
        <c:scatterStyle val="lineMarker"/>
        <c:varyColors val="0"/>
        <c:ser>
          <c:idx val="0"/>
          <c:order val="0"/>
          <c:tx>
            <c:v>Bed/Ground Elevation  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'XS6-P2'!$A$8:$A$44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'XS6-P2'!$D$8:$D$44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Water Surface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'XS6-P2'!$A$8:$A$44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'XS6-P2'!$G$8:$G$44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Bankful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'XS6-P2'!$A$8:$A$44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'XS6-P2'!$J$8:$J$44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FPA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'XS6-P2'!$A$8:$A$44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'XS6-P2'!$K$8:$K$44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4195138"/>
        <c:axId val="37756243"/>
      </c:scatterChart>
      <c:valAx>
        <c:axId val="4195138"/>
        <c:scaling>
          <c:orientation val="minMax"/>
          <c:max val="6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(ft),  LB to RB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756243"/>
        <c:crossesAt val="99"/>
        <c:crossBetween val="midCat"/>
        <c:dispUnits/>
        <c:majorUnit val="5"/>
        <c:minorUnit val="1"/>
      </c:valAx>
      <c:valAx>
        <c:axId val="37756243"/>
        <c:scaling>
          <c:orientation val="minMax"/>
          <c:max val="104"/>
          <c:min val="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5138"/>
        <c:crossesAt val="30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Creek at 3+23
 Cross Section 5, Riffle #2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212"/>
          <c:w val="0.8625"/>
          <c:h val="0.647"/>
        </c:manualLayout>
      </c:layout>
      <c:scatterChart>
        <c:scatterStyle val="lineMarker"/>
        <c:varyColors val="0"/>
        <c:ser>
          <c:idx val="0"/>
          <c:order val="0"/>
          <c:tx>
            <c:v>Bed/Ground Elevation  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'XS5-R2 '!$A$8:$A$46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'XS5-R2 '!$D$8:$D$46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Water Surface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'XS5-R2 '!$A$8:$A$46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'XS5-R2 '!$G$8:$G$46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Bankful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'XS5-R2 '!$A$8:$A$46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'XS5-R2 '!$J$8:$J$46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FPA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'XS5-R2 '!$A$8:$A$46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'XS5-R2 '!$K$8:$K$46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4261868"/>
        <c:axId val="38356813"/>
      </c:scatterChart>
      <c:valAx>
        <c:axId val="426186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(ft),  LB to RB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56813"/>
        <c:crossesAt val="101"/>
        <c:crossBetween val="midCat"/>
        <c:dispUnits/>
        <c:majorUnit val="5"/>
        <c:minorUnit val="1"/>
      </c:valAx>
      <c:valAx>
        <c:axId val="38356813"/>
        <c:scaling>
          <c:orientation val="minMax"/>
          <c:max val="106"/>
          <c:min val="1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1868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Creek at 3+23
 Cross Section 5, Riffle #2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2625"/>
          <c:w val="0.8625"/>
          <c:h val="0.55725"/>
        </c:manualLayout>
      </c:layout>
      <c:scatterChart>
        <c:scatterStyle val="lineMarker"/>
        <c:varyColors val="0"/>
        <c:ser>
          <c:idx val="0"/>
          <c:order val="0"/>
          <c:tx>
            <c:v>Bed/Ground Elevation  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'XS5-R2 '!$A$8:$A$46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'XS5-R2 '!$D$8:$D$46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Water Surface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'XS5-R2 '!$A$8:$A$46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'XS5-R2 '!$G$8:$G$46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Bankful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'XS5-R2 '!$A$8:$A$46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'XS5-R2 '!$J$8:$J$46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FPA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'XS5-R2 '!$A$8:$A$46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'XS5-R2 '!$K$8:$K$46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9666998"/>
        <c:axId val="19894119"/>
      </c:scatterChart>
      <c:valAx>
        <c:axId val="9666998"/>
        <c:scaling>
          <c:orientation val="minMax"/>
          <c:max val="65"/>
          <c:min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(ft),  LB to RB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894119"/>
        <c:crossesAt val="101"/>
        <c:crossBetween val="midCat"/>
        <c:dispUnits/>
        <c:majorUnit val="5"/>
        <c:minorUnit val="1"/>
      </c:valAx>
      <c:valAx>
        <c:axId val="19894119"/>
        <c:scaling>
          <c:orientation val="minMax"/>
          <c:max val="106"/>
          <c:min val="1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66998"/>
        <c:crossesAt val="35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Creek at 3+49
 Cross Section 4, Riffle #1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1525"/>
          <c:w val="0.8615"/>
          <c:h val="0.638"/>
        </c:manualLayout>
      </c:layout>
      <c:scatterChart>
        <c:scatterStyle val="lineMarker"/>
        <c:varyColors val="0"/>
        <c:ser>
          <c:idx val="0"/>
          <c:order val="0"/>
          <c:tx>
            <c:v>Bed/Ground Elevation  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'XS4-R1 '!$A$8:$A$42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'XS4-R1 '!$D$8:$D$42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Water Surface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'XS4-R1 '!$A$8:$A$42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'XS4-R1 '!$G$8:$G$42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Bankful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'XS4-R1 '!$A$8:$A$42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'XS4-R1 '!$J$8:$J$42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FPA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'XS4-R1 '!$A$8:$A$43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'XS4-R1 '!$K$8:$K$43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44829344"/>
        <c:axId val="810913"/>
      </c:scatterChart>
      <c:valAx>
        <c:axId val="4482934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(ft),  LB to RB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10913"/>
        <c:crossesAt val="102"/>
        <c:crossBetween val="midCat"/>
        <c:dispUnits/>
        <c:majorUnit val="5"/>
        <c:minorUnit val="1"/>
      </c:valAx>
      <c:valAx>
        <c:axId val="810913"/>
        <c:scaling>
          <c:orientation val="minMax"/>
          <c:max val="107"/>
          <c:min val="1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829344"/>
        <c:crosses val="autoZero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Creek at 3+49
 Cross Section 4, Riffle #1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625"/>
          <c:w val="0.86075"/>
          <c:h val="0.55775"/>
        </c:manualLayout>
      </c:layout>
      <c:scatterChart>
        <c:scatterStyle val="lineMarker"/>
        <c:varyColors val="0"/>
        <c:ser>
          <c:idx val="0"/>
          <c:order val="0"/>
          <c:tx>
            <c:v>Bed/Ground Elevation  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'XS4-R1 '!$A$14:$A$35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'XS4-R1 '!$D$14:$D$35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Water Surface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'XS4-R1 '!$A$14:$A$35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'XS4-R1 '!$G$14:$G$35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Bankful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'XS4-R1 '!$A$14:$A$35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'XS4-R1 '!$J$14:$J$35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FPA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'XS4-R1 '!$A$14:$A$35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'XS4-R1 '!$K$14:$K$35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7298218"/>
        <c:axId val="65683963"/>
      </c:scatterChart>
      <c:valAx>
        <c:axId val="7298218"/>
        <c:scaling>
          <c:orientation val="minMax"/>
          <c:max val="65"/>
          <c:min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(ft),  LB to RB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83963"/>
        <c:crossesAt val="102"/>
        <c:crossBetween val="midCat"/>
        <c:dispUnits/>
        <c:majorUnit val="5"/>
        <c:minorUnit val="1"/>
      </c:valAx>
      <c:valAx>
        <c:axId val="65683963"/>
        <c:scaling>
          <c:orientation val="minMax"/>
          <c:max val="107"/>
          <c:min val="1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98218"/>
        <c:crossesAt val="35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Creek at 3+98
 Cross Section 3, Glide #2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28"/>
          <c:w val="0.82375"/>
          <c:h val="0.74125"/>
        </c:manualLayout>
      </c:layout>
      <c:scatterChart>
        <c:scatterStyle val="lineMarker"/>
        <c:varyColors val="0"/>
        <c:ser>
          <c:idx val="0"/>
          <c:order val="0"/>
          <c:tx>
            <c:v>Bed/Ground Elevation  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'XS3-G2 '!$A$8:$A$42</c:f>
              <c:numCache/>
            </c:numRef>
          </c:xVal>
          <c:yVal>
            <c:numRef>
              <c:f>'XS3-G2 '!$D$8:$D$42</c:f>
              <c:numCache/>
            </c:numRef>
          </c:yVal>
          <c:smooth val="0"/>
        </c:ser>
        <c:ser>
          <c:idx val="1"/>
          <c:order val="1"/>
          <c:tx>
            <c:v>Water Surface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'XS3-G2 '!$A$8:$A$42</c:f>
              <c:numCache/>
            </c:numRef>
          </c:xVal>
          <c:yVal>
            <c:numRef>
              <c:f>'XS3-G2 '!$G$8:$G$42</c:f>
              <c:numCache/>
            </c:numRef>
          </c:yVal>
          <c:smooth val="0"/>
        </c:ser>
        <c:ser>
          <c:idx val="3"/>
          <c:order val="2"/>
          <c:tx>
            <c:v>Bankful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'XS3-G2 '!$A$8:$A$42</c:f>
              <c:numCache/>
            </c:numRef>
          </c:xVal>
          <c:yVal>
            <c:numRef>
              <c:f>'XS3-G2 '!$J$8:$J$42</c:f>
              <c:numCache/>
            </c:numRef>
          </c:yVal>
          <c:smooth val="0"/>
        </c:ser>
        <c:ser>
          <c:idx val="2"/>
          <c:order val="3"/>
          <c:tx>
            <c:v>FPA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'XS3-G2 '!$A$8:$A$42</c:f>
              <c:numCache/>
            </c:numRef>
          </c:xVal>
          <c:yVal>
            <c:numRef>
              <c:f>'XS3-G2 '!$K$8:$K$42</c:f>
              <c:numCache/>
            </c:numRef>
          </c:yVal>
          <c:smooth val="0"/>
        </c:ser>
        <c:axId val="54284756"/>
        <c:axId val="18800757"/>
      </c:scatterChart>
      <c:valAx>
        <c:axId val="5428475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(ft),  LB to RB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800757"/>
        <c:crossesAt val="102"/>
        <c:crossBetween val="midCat"/>
        <c:dispUnits/>
        <c:majorUnit val="5"/>
        <c:minorUnit val="1"/>
      </c:valAx>
      <c:valAx>
        <c:axId val="18800757"/>
        <c:scaling>
          <c:orientation val="minMax"/>
          <c:max val="107"/>
          <c:min val="1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84756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925"/>
          <c:y val="0.9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0.76825</cdr:y>
    </cdr:from>
    <cdr:to>
      <cdr:x>0.99675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248650" y="2362200"/>
          <a:ext cx="847725" cy="723900"/>
        </a:xfrm>
        <a:prstGeom prst="rect">
          <a:avLst/>
        </a:prstGeom>
        <a:noFill/>
        <a:ln w="9525" cmpd="sng">
          <a:solidFill>
            <a:srgbClr val="3333C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Wbkf = 10.7 ft
CSA = 11.4 ft2
Dave = 1.07ft
Dmax = 1.53 ft
W/D = 10.0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3</xdr:row>
      <xdr:rowOff>9525</xdr:rowOff>
    </xdr:from>
    <xdr:to>
      <xdr:col>28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943850" y="600075"/>
        <a:ext cx="9134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26</xdr:row>
      <xdr:rowOff>9525</xdr:rowOff>
    </xdr:from>
    <xdr:to>
      <xdr:col>28</xdr:col>
      <xdr:colOff>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7934325" y="4324350"/>
        <a:ext cx="91440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0.7005</cdr:y>
    </cdr:from>
    <cdr:to>
      <cdr:x>0.99075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7667625" y="2038350"/>
          <a:ext cx="781050" cy="809625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Wbkf = 8.3 ft.
CSA = 18.4 ft2
Dave = 2.2 ft.
Dmax = 2.9
W/D = 3.8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3</xdr:row>
      <xdr:rowOff>0</xdr:rowOff>
    </xdr:from>
    <xdr:to>
      <xdr:col>26</xdr:col>
      <xdr:colOff>609600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8524875" y="590550"/>
        <a:ext cx="85248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27</xdr:col>
      <xdr:colOff>0</xdr:colOff>
      <xdr:row>43</xdr:row>
      <xdr:rowOff>0</xdr:rowOff>
    </xdr:to>
    <xdr:graphicFrame>
      <xdr:nvGraphicFramePr>
        <xdr:cNvPr id="2" name="Chart 11"/>
        <xdr:cNvGraphicFramePr/>
      </xdr:nvGraphicFramePr>
      <xdr:xfrm>
        <a:off x="8515350" y="4152900"/>
        <a:ext cx="85344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0.89325</cdr:x>
      <cdr:y>0.753</cdr:y>
    </cdr:from>
    <cdr:to>
      <cdr:x>0.98075</cdr:x>
      <cdr:y>0.9915</cdr:y>
    </cdr:to>
    <cdr:sp>
      <cdr:nvSpPr>
        <cdr:cNvPr id="1" name="TextBox 2"/>
        <cdr:cNvSpPr txBox="1">
          <a:spLocks noChangeArrowheads="1"/>
        </cdr:cNvSpPr>
      </cdr:nvSpPr>
      <cdr:spPr>
        <a:xfrm>
          <a:off x="8162925" y="2190750"/>
          <a:ext cx="800100" cy="695325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Wbkf = 10.9 ft
CSA = 11.3 ft2
Dave = 1.04 ft
Dmax =1.4 ft
W/D = 10.5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</xdr:row>
      <xdr:rowOff>9525</xdr:rowOff>
    </xdr:from>
    <xdr:to>
      <xdr:col>27</xdr:col>
      <xdr:colOff>600075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8105775" y="600075"/>
        <a:ext cx="91059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26</xdr:row>
      <xdr:rowOff>9525</xdr:rowOff>
    </xdr:from>
    <xdr:to>
      <xdr:col>28</xdr:col>
      <xdr:colOff>0</xdr:colOff>
      <xdr:row>44</xdr:row>
      <xdr:rowOff>9525</xdr:rowOff>
    </xdr:to>
    <xdr:graphicFrame>
      <xdr:nvGraphicFramePr>
        <xdr:cNvPr id="2" name="Chart 38"/>
        <xdr:cNvGraphicFramePr/>
      </xdr:nvGraphicFramePr>
      <xdr:xfrm>
        <a:off x="8077200" y="4324350"/>
        <a:ext cx="9144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0.4625</cdr:x>
      <cdr:y>0.6885</cdr:y>
    </cdr:from>
    <cdr:to>
      <cdr:x>0.4625</cdr:x>
      <cdr:y>0.792</cdr:y>
    </cdr:to>
    <cdr:sp>
      <cdr:nvSpPr>
        <cdr:cNvPr id="1" name="Line 1"/>
        <cdr:cNvSpPr>
          <a:spLocks/>
        </cdr:cNvSpPr>
      </cdr:nvSpPr>
      <cdr:spPr>
        <a:xfrm>
          <a:off x="4267200" y="2447925"/>
          <a:ext cx="0" cy="371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0.9105</cdr:x>
      <cdr:y>0.689</cdr:y>
    </cdr:from>
    <cdr:to>
      <cdr:x>0.998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8410575" y="2447925"/>
          <a:ext cx="809625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Wbkf = 11.1 ft
Dave = 0.92 ft
csa = 10.2 ft
w/d = 12.08
C4 stream type
Dmax = 1.47 ft
FPA = 170 ft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3</xdr:row>
      <xdr:rowOff>19050</xdr:rowOff>
    </xdr:from>
    <xdr:to>
      <xdr:col>28</xdr:col>
      <xdr:colOff>581025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8696325" y="609600"/>
        <a:ext cx="92297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26</xdr:row>
      <xdr:rowOff>0</xdr:rowOff>
    </xdr:from>
    <xdr:to>
      <xdr:col>28</xdr:col>
      <xdr:colOff>581025</xdr:colOff>
      <xdr:row>48</xdr:row>
      <xdr:rowOff>0</xdr:rowOff>
    </xdr:to>
    <xdr:graphicFrame>
      <xdr:nvGraphicFramePr>
        <xdr:cNvPr id="2" name="Chart 3"/>
        <xdr:cNvGraphicFramePr/>
      </xdr:nvGraphicFramePr>
      <xdr:xfrm>
        <a:off x="8686800" y="4314825"/>
        <a:ext cx="9239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</cdr:x>
      <cdr:y>0.70625</cdr:y>
    </cdr:from>
    <cdr:to>
      <cdr:x>0.405</cdr:x>
      <cdr:y>0.7945</cdr:y>
    </cdr:to>
    <cdr:sp>
      <cdr:nvSpPr>
        <cdr:cNvPr id="1" name="Line 1"/>
        <cdr:cNvSpPr>
          <a:spLocks/>
        </cdr:cNvSpPr>
      </cdr:nvSpPr>
      <cdr:spPr>
        <a:xfrm>
          <a:off x="4800600" y="2514600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0.3755</cdr:x>
      <cdr:y>0.697</cdr:y>
    </cdr:from>
    <cdr:to>
      <cdr:x>0.40075</cdr:x>
      <cdr:y>0.697</cdr:y>
    </cdr:to>
    <cdr:sp>
      <cdr:nvSpPr>
        <cdr:cNvPr id="2" name="Line 4"/>
        <cdr:cNvSpPr>
          <a:spLocks/>
        </cdr:cNvSpPr>
      </cdr:nvSpPr>
      <cdr:spPr>
        <a:xfrm flipH="1">
          <a:off x="4448175" y="2476500"/>
          <a:ext cx="2952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0.35775</cdr:x>
      <cdr:y>0.666</cdr:y>
    </cdr:from>
    <cdr:to>
      <cdr:x>0.405</cdr:x>
      <cdr:y>0.666</cdr:y>
    </cdr:to>
    <cdr:sp>
      <cdr:nvSpPr>
        <cdr:cNvPr id="3" name="Line 6"/>
        <cdr:cNvSpPr>
          <a:spLocks/>
        </cdr:cNvSpPr>
      </cdr:nvSpPr>
      <cdr:spPr>
        <a:xfrm flipH="1">
          <a:off x="4238625" y="2371725"/>
          <a:ext cx="561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0.32925</cdr:x>
      <cdr:y>0.602</cdr:y>
    </cdr:from>
    <cdr:to>
      <cdr:x>0.405</cdr:x>
      <cdr:y>0.6025</cdr:y>
    </cdr:to>
    <cdr:sp>
      <cdr:nvSpPr>
        <cdr:cNvPr id="4" name="Line 7"/>
        <cdr:cNvSpPr>
          <a:spLocks/>
        </cdr:cNvSpPr>
      </cdr:nvSpPr>
      <cdr:spPr>
        <a:xfrm flipH="1">
          <a:off x="3905250" y="2143125"/>
          <a:ext cx="8953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0.30975</cdr:x>
      <cdr:y>0.5465</cdr:y>
    </cdr:from>
    <cdr:to>
      <cdr:x>0.405</cdr:x>
      <cdr:y>0.5465</cdr:y>
    </cdr:to>
    <cdr:sp>
      <cdr:nvSpPr>
        <cdr:cNvPr id="5" name="Line 8"/>
        <cdr:cNvSpPr>
          <a:spLocks/>
        </cdr:cNvSpPr>
      </cdr:nvSpPr>
      <cdr:spPr>
        <a:xfrm flipH="1">
          <a:off x="3667125" y="1943100"/>
          <a:ext cx="1133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0.314</cdr:x>
      <cdr:y>0.507</cdr:y>
    </cdr:from>
    <cdr:to>
      <cdr:x>0.405</cdr:x>
      <cdr:y>0.5075</cdr:y>
    </cdr:to>
    <cdr:sp>
      <cdr:nvSpPr>
        <cdr:cNvPr id="6" name="Line 9"/>
        <cdr:cNvSpPr>
          <a:spLocks/>
        </cdr:cNvSpPr>
      </cdr:nvSpPr>
      <cdr:spPr>
        <a:xfrm flipH="1" flipV="1">
          <a:off x="3724275" y="1800225"/>
          <a:ext cx="10763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0.3005</cdr:x>
      <cdr:y>0.477</cdr:y>
    </cdr:from>
    <cdr:to>
      <cdr:x>0.405</cdr:x>
      <cdr:y>0.47775</cdr:y>
    </cdr:to>
    <cdr:sp>
      <cdr:nvSpPr>
        <cdr:cNvPr id="7" name="Line 10"/>
        <cdr:cNvSpPr>
          <a:spLocks/>
        </cdr:cNvSpPr>
      </cdr:nvSpPr>
      <cdr:spPr>
        <a:xfrm flipH="1" flipV="1">
          <a:off x="3562350" y="1695450"/>
          <a:ext cx="12382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0.21125</cdr:x>
      <cdr:y>0.602</cdr:y>
    </cdr:from>
    <cdr:to>
      <cdr:x>0.32925</cdr:x>
      <cdr:y>0.6025</cdr:y>
    </cdr:to>
    <cdr:sp>
      <cdr:nvSpPr>
        <cdr:cNvPr id="8" name="Line 11"/>
        <cdr:cNvSpPr>
          <a:spLocks/>
        </cdr:cNvSpPr>
      </cdr:nvSpPr>
      <cdr:spPr>
        <a:xfrm flipH="1">
          <a:off x="2505075" y="2143125"/>
          <a:ext cx="1400175" cy="0"/>
        </a:xfrm>
        <a:prstGeom prst="line">
          <a:avLst/>
        </a:prstGeom>
        <a:noFill/>
        <a:ln w="19050" cmpd="sng">
          <a:solidFill>
            <a:srgbClr val="66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0.19275</cdr:x>
      <cdr:y>0.5465</cdr:y>
    </cdr:from>
    <cdr:to>
      <cdr:x>0.30975</cdr:x>
      <cdr:y>0.5465</cdr:y>
    </cdr:to>
    <cdr:sp>
      <cdr:nvSpPr>
        <cdr:cNvPr id="9" name="Line 12"/>
        <cdr:cNvSpPr>
          <a:spLocks/>
        </cdr:cNvSpPr>
      </cdr:nvSpPr>
      <cdr:spPr>
        <a:xfrm flipH="1">
          <a:off x="2286000" y="1943100"/>
          <a:ext cx="1390650" cy="0"/>
        </a:xfrm>
        <a:prstGeom prst="line">
          <a:avLst/>
        </a:prstGeom>
        <a:noFill/>
        <a:ln w="19050" cmpd="sng">
          <a:solidFill>
            <a:srgbClr val="66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0.35825</cdr:y>
    </cdr:from>
    <cdr:to>
      <cdr:x>0.5075</cdr:x>
      <cdr:y>0.79575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800600" y="1266825"/>
          <a:ext cx="1219200" cy="1562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75" b="1" i="0" u="none" baseline="0">
              <a:latin typeface="Arial"/>
              <a:ea typeface="Arial"/>
              <a:cs typeface="Arial"/>
            </a:rPr>
            <a:t>
Vert/Hor.</a:t>
          </a:r>
          <a:r>
            <a:rPr lang="en-US" cap="none" sz="475" b="0" i="0" u="none" baseline="0">
              <a:latin typeface="Arial"/>
              <a:ea typeface="Arial"/>
              <a:cs typeface="Arial"/>
            </a:rPr>
            <a:t>
2.24/2.94'
1.86/2.57'
1.49/2.70'
0.88/2.04'
0.39/1.25'
0.0/0.79'</a:t>
          </a:r>
        </a:p>
      </cdr:txBody>
    </cdr:sp>
  </cdr:relSizeAnchor>
  <cdr:relSizeAnchor xmlns:cdr="http://schemas.openxmlformats.org/drawingml/2006/chartDrawing">
    <cdr:from>
      <cdr:x>0.08675</cdr:x>
      <cdr:y>0.535</cdr:y>
    </cdr:from>
    <cdr:to>
      <cdr:x>0.19875</cdr:x>
      <cdr:y>0.6265</cdr:y>
    </cdr:to>
    <cdr:sp>
      <cdr:nvSpPr>
        <cdr:cNvPr id="11" name="TextBox 14"/>
        <cdr:cNvSpPr txBox="1">
          <a:spLocks noChangeArrowheads="1"/>
        </cdr:cNvSpPr>
      </cdr:nvSpPr>
      <cdr:spPr>
        <a:xfrm>
          <a:off x="1028700" y="1905000"/>
          <a:ext cx="1333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75" b="0" i="0" u="none" baseline="0">
              <a:latin typeface="Arial"/>
              <a:ea typeface="Arial"/>
              <a:cs typeface="Arial"/>
            </a:rPr>
            <a:t>Upper Rebar =3.36 ft
Lower Rebar =3.28 ft.</a:t>
          </a:r>
        </a:p>
      </cdr:txBody>
    </cdr:sp>
  </cdr:relSizeAnchor>
  <cdr:relSizeAnchor xmlns:cdr="http://schemas.openxmlformats.org/drawingml/2006/chartDrawing">
    <cdr:from>
      <cdr:x>0.9065</cdr:x>
      <cdr:y>0.62575</cdr:y>
    </cdr:from>
    <cdr:to>
      <cdr:x>1</cdr:x>
      <cdr:y>0.842</cdr:y>
    </cdr:to>
    <cdr:sp>
      <cdr:nvSpPr>
        <cdr:cNvPr id="12" name="TextBox 15"/>
        <cdr:cNvSpPr txBox="1">
          <a:spLocks noChangeArrowheads="1"/>
        </cdr:cNvSpPr>
      </cdr:nvSpPr>
      <cdr:spPr>
        <a:xfrm>
          <a:off x="10753725" y="2228850"/>
          <a:ext cx="11144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Wbkf= 10.9 ft.
Dave= 1.77 ft.
csa= 19.2 ft2
w/d= 6.2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3</xdr:row>
      <xdr:rowOff>28575</xdr:rowOff>
    </xdr:from>
    <xdr:to>
      <xdr:col>29</xdr:col>
      <xdr:colOff>600075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9324975" y="619125"/>
        <a:ext cx="9105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27</xdr:row>
      <xdr:rowOff>9525</xdr:rowOff>
    </xdr:from>
    <xdr:to>
      <xdr:col>34</xdr:col>
      <xdr:colOff>295275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9305925" y="4486275"/>
        <a:ext cx="118681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314325</xdr:colOff>
      <xdr:row>12</xdr:row>
      <xdr:rowOff>152400</xdr:rowOff>
    </xdr:from>
    <xdr:to>
      <xdr:col>37</xdr:col>
      <xdr:colOff>428625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16573500" y="2266950"/>
        <a:ext cx="83439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</xdr:row>
      <xdr:rowOff>0</xdr:rowOff>
    </xdr:from>
    <xdr:to>
      <xdr:col>28</xdr:col>
      <xdr:colOff>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8001000" y="590550"/>
        <a:ext cx="91154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26</xdr:row>
      <xdr:rowOff>0</xdr:rowOff>
    </xdr:from>
    <xdr:to>
      <xdr:col>27</xdr:col>
      <xdr:colOff>600075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7972425" y="4314825"/>
        <a:ext cx="91344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0.73325</cdr:x>
      <cdr:y>0.1475</cdr:y>
    </cdr:from>
    <cdr:to>
      <cdr:x>0.952</cdr:x>
      <cdr:y>0.18525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76825" y="590550"/>
          <a:ext cx="1514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Mean bed slope = 1.003%</a:t>
          </a:r>
        </a:p>
      </cdr:txBody>
    </cdr:sp>
  </cdr:relSizeAnchor>
  <cdr:relSizeAnchor xmlns:cdr="http://schemas.openxmlformats.org/drawingml/2006/chartDrawing">
    <cdr:from>
      <cdr:x>0.03775</cdr:x>
      <cdr:y>0.87125</cdr:y>
    </cdr:from>
    <cdr:to>
      <cdr:x>0.2715</cdr:x>
      <cdr:y>0.98175</cdr:y>
    </cdr:to>
    <cdr:sp>
      <cdr:nvSpPr>
        <cdr:cNvPr id="2" name="TextBox 2"/>
        <cdr:cNvSpPr txBox="1">
          <a:spLocks noChangeArrowheads="1"/>
        </cdr:cNvSpPr>
      </cdr:nvSpPr>
      <cdr:spPr>
        <a:xfrm>
          <a:off x="257175" y="352425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5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 of Well = BM set at 100.00 ft. (True Elevation = 3290.72 ft)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1</xdr:row>
      <xdr:rowOff>142875</xdr:rowOff>
    </xdr:from>
    <xdr:to>
      <xdr:col>26</xdr:col>
      <xdr:colOff>133350</xdr:colOff>
      <xdr:row>26</xdr:row>
      <xdr:rowOff>76200</xdr:rowOff>
    </xdr:to>
    <xdr:graphicFrame>
      <xdr:nvGraphicFramePr>
        <xdr:cNvPr id="1" name="Chart 4"/>
        <xdr:cNvGraphicFramePr/>
      </xdr:nvGraphicFramePr>
      <xdr:xfrm>
        <a:off x="10287000" y="304800"/>
        <a:ext cx="69246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0.8975</cdr:x>
      <cdr:y>0.728</cdr:y>
    </cdr:from>
    <cdr:to>
      <cdr:x>0.9945</cdr:x>
      <cdr:y>0.9885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0" y="2124075"/>
          <a:ext cx="885825" cy="76200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Wbkf = 9.5 ft
CSA = 10.7 ft2
Dave = 1.12 ft
Dmax = 2.35 ft.
W/D = 8.5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3</xdr:row>
      <xdr:rowOff>0</xdr:rowOff>
    </xdr:from>
    <xdr:to>
      <xdr:col>28</xdr:col>
      <xdr:colOff>9525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7934325" y="590550"/>
        <a:ext cx="9144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26</xdr:row>
      <xdr:rowOff>0</xdr:rowOff>
    </xdr:from>
    <xdr:to>
      <xdr:col>27</xdr:col>
      <xdr:colOff>600075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7924800" y="4314825"/>
        <a:ext cx="91344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0.71275</cdr:y>
    </cdr:from>
    <cdr:to>
      <cdr:x>0.99375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267700" y="2066925"/>
          <a:ext cx="838200" cy="8382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Wbkf=12.9 ft
CSA = 12.18 ft2
Dave = 0.94 ft
Dmax = 1.2 ft
W/D = 13.7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3</xdr:row>
      <xdr:rowOff>28575</xdr:rowOff>
    </xdr:from>
    <xdr:to>
      <xdr:col>28</xdr:col>
      <xdr:colOff>600075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8610600" y="619125"/>
        <a:ext cx="91249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600075</xdr:colOff>
      <xdr:row>26</xdr:row>
      <xdr:rowOff>152400</xdr:rowOff>
    </xdr:from>
    <xdr:to>
      <xdr:col>29</xdr:col>
      <xdr:colOff>19050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8591550" y="4467225"/>
        <a:ext cx="91725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0.74575</cdr:y>
    </cdr:from>
    <cdr:to>
      <cdr:x>0.9815</cdr:x>
      <cdr:y>0.9615</cdr:y>
    </cdr:to>
    <cdr:sp>
      <cdr:nvSpPr>
        <cdr:cNvPr id="1" name="TextBox 4"/>
        <cdr:cNvSpPr txBox="1">
          <a:spLocks noChangeArrowheads="1"/>
        </cdr:cNvSpPr>
      </cdr:nvSpPr>
      <cdr:spPr>
        <a:xfrm>
          <a:off x="8258175" y="2171700"/>
          <a:ext cx="704850" cy="628650"/>
        </a:xfrm>
        <a:prstGeom prst="rect">
          <a:avLst/>
        </a:prstGeom>
        <a:noFill/>
        <a:ln w="9525" cmpd="sng">
          <a:solidFill>
            <a:srgbClr val="3333C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Wbkf = 11.3 ft
CSA = 11.26 ft2
Dave = 1.00 ft
Dmax = 1.47 ft
W/D = 11.3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</xdr:row>
      <xdr:rowOff>9525</xdr:rowOff>
    </xdr:from>
    <xdr:to>
      <xdr:col>27</xdr:col>
      <xdr:colOff>600075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8201025" y="600075"/>
        <a:ext cx="91059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26</xdr:row>
      <xdr:rowOff>0</xdr:rowOff>
    </xdr:from>
    <xdr:to>
      <xdr:col>27</xdr:col>
      <xdr:colOff>600075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8172450" y="4314825"/>
        <a:ext cx="91344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0.757</cdr:y>
    </cdr:from>
    <cdr:to>
      <cdr:x>0.99025</cdr:x>
      <cdr:y>0.95875</cdr:y>
    </cdr:to>
    <cdr:sp>
      <cdr:nvSpPr>
        <cdr:cNvPr id="1" name="TextBox 2"/>
        <cdr:cNvSpPr txBox="1">
          <a:spLocks noChangeArrowheads="1"/>
        </cdr:cNvSpPr>
      </cdr:nvSpPr>
      <cdr:spPr>
        <a:xfrm>
          <a:off x="8267700" y="2314575"/>
          <a:ext cx="781050" cy="619125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25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 bkf = 7.1 ft
CSA = 9.85 ft2
Dave=1.39ft
Dmax = 1.97 ft
W/D = 5.12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8515625" style="0" customWidth="1"/>
    <col min="3" max="3" width="9.140625" style="4" customWidth="1"/>
  </cols>
  <sheetData>
    <row r="2" spans="1:13" ht="18">
      <c r="A2" s="10" t="s">
        <v>0</v>
      </c>
      <c r="C2" s="18"/>
      <c r="D2" s="9"/>
      <c r="E2" s="9"/>
      <c r="G2" s="19"/>
      <c r="H2" s="19"/>
      <c r="I2" s="19"/>
      <c r="J2" s="19"/>
      <c r="K2" s="1"/>
      <c r="L2" s="19"/>
      <c r="M2" s="4"/>
    </row>
    <row r="3" spans="1:13" ht="15.75">
      <c r="A3" s="39" t="s">
        <v>136</v>
      </c>
      <c r="F3" t="s">
        <v>90</v>
      </c>
      <c r="G3" s="19"/>
      <c r="H3" s="19"/>
      <c r="I3" s="19"/>
      <c r="J3" s="19"/>
      <c r="K3" s="1"/>
      <c r="L3" s="19"/>
      <c r="M3" s="4"/>
    </row>
    <row r="4" spans="1:27" ht="12.75">
      <c r="A4" t="s">
        <v>80</v>
      </c>
      <c r="B4" s="44">
        <v>36692</v>
      </c>
      <c r="F4" t="s">
        <v>93</v>
      </c>
      <c r="G4" s="19"/>
      <c r="H4" s="19"/>
      <c r="I4" s="19"/>
      <c r="J4" s="19"/>
      <c r="K4" s="1"/>
      <c r="L4" s="19"/>
      <c r="M4" s="4"/>
      <c r="Y4" s="4"/>
      <c r="Z4" s="4"/>
      <c r="AA4" s="4"/>
    </row>
    <row r="5" spans="1:27" ht="12.75">
      <c r="A5" s="26" t="s">
        <v>1</v>
      </c>
      <c r="B5" s="7" t="s">
        <v>2</v>
      </c>
      <c r="C5" s="21"/>
      <c r="D5" s="16"/>
      <c r="E5" s="16"/>
      <c r="F5" s="16"/>
      <c r="G5" s="19"/>
      <c r="H5" s="19"/>
      <c r="I5" s="19"/>
      <c r="J5" s="19"/>
      <c r="K5" s="1"/>
      <c r="L5" s="19"/>
      <c r="M5" s="4"/>
      <c r="Y5" s="4"/>
      <c r="Z5" s="4"/>
      <c r="AA5" s="4"/>
    </row>
    <row r="6" spans="1:27" ht="12.75">
      <c r="A6" s="26" t="s">
        <v>3</v>
      </c>
      <c r="B6" s="17" t="s">
        <v>5</v>
      </c>
      <c r="C6" s="22" t="s">
        <v>6</v>
      </c>
      <c r="D6" s="17" t="s">
        <v>14</v>
      </c>
      <c r="E6" s="53" t="b">
        <v>1</v>
      </c>
      <c r="F6" s="8" t="s">
        <v>7</v>
      </c>
      <c r="G6" s="8" t="s">
        <v>7</v>
      </c>
      <c r="H6" s="8" t="s">
        <v>56</v>
      </c>
      <c r="I6" s="19"/>
      <c r="J6" s="19" t="s">
        <v>56</v>
      </c>
      <c r="K6" s="1" t="s">
        <v>65</v>
      </c>
      <c r="L6" s="19"/>
      <c r="M6" s="4"/>
      <c r="Y6" s="4"/>
      <c r="Z6" s="4"/>
      <c r="AA6" s="4"/>
    </row>
    <row r="7" spans="1:27" ht="12.75">
      <c r="A7" s="28" t="s">
        <v>8</v>
      </c>
      <c r="B7" s="11" t="s">
        <v>10</v>
      </c>
      <c r="C7" s="23" t="s">
        <v>11</v>
      </c>
      <c r="D7" s="40" t="s">
        <v>58</v>
      </c>
      <c r="E7" s="41" t="s">
        <v>14</v>
      </c>
      <c r="F7" s="11" t="s">
        <v>12</v>
      </c>
      <c r="G7" s="41" t="s">
        <v>14</v>
      </c>
      <c r="H7" s="61" t="s">
        <v>127</v>
      </c>
      <c r="I7" s="27" t="s">
        <v>57</v>
      </c>
      <c r="J7" s="27" t="s">
        <v>14</v>
      </c>
      <c r="K7" s="2" t="s">
        <v>14</v>
      </c>
      <c r="L7" s="27" t="s">
        <v>13</v>
      </c>
      <c r="Y7" s="4"/>
      <c r="Z7" s="4"/>
      <c r="AA7" s="4"/>
    </row>
    <row r="8" spans="1:27" ht="12.75">
      <c r="A8">
        <v>0</v>
      </c>
      <c r="B8" s="4">
        <v>106.89</v>
      </c>
      <c r="C8" s="4">
        <v>5</v>
      </c>
      <c r="D8" s="4">
        <f>+$B$8-C8</f>
        <v>101.89</v>
      </c>
      <c r="E8" s="4">
        <f>3290.72+D8-100</f>
        <v>3292.6099999999997</v>
      </c>
      <c r="F8" s="4"/>
      <c r="G8" s="20"/>
      <c r="H8" s="20"/>
      <c r="I8" s="20"/>
      <c r="J8" s="20"/>
      <c r="K8" s="4">
        <v>102.5</v>
      </c>
      <c r="L8" s="20" t="s">
        <v>63</v>
      </c>
      <c r="M8" s="3"/>
      <c r="Y8" s="4"/>
      <c r="Z8" s="4"/>
      <c r="AA8" s="4"/>
    </row>
    <row r="9" spans="1:27" ht="12.75">
      <c r="A9">
        <v>5</v>
      </c>
      <c r="B9" s="4"/>
      <c r="C9" s="4">
        <v>5.15</v>
      </c>
      <c r="D9" s="4">
        <f aca="true" t="shared" si="0" ref="D9:D49">+$B$8-C9</f>
        <v>101.74</v>
      </c>
      <c r="E9" s="4">
        <f aca="true" t="shared" si="1" ref="E9:E49">3290.72+D9-100</f>
        <v>3292.4599999999996</v>
      </c>
      <c r="F9" s="4"/>
      <c r="G9" s="20"/>
      <c r="H9" s="20"/>
      <c r="I9" s="20"/>
      <c r="J9" s="20"/>
      <c r="K9" s="1"/>
      <c r="L9" s="20"/>
      <c r="M9" s="3"/>
      <c r="Y9" s="4"/>
      <c r="Z9" s="4"/>
      <c r="AA9" s="4"/>
    </row>
    <row r="10" spans="1:27" ht="12.75">
      <c r="A10">
        <v>10</v>
      </c>
      <c r="B10" s="4"/>
      <c r="C10" s="4">
        <v>5.12</v>
      </c>
      <c r="D10" s="4">
        <f t="shared" si="0"/>
        <v>101.77</v>
      </c>
      <c r="E10" s="4">
        <f t="shared" si="1"/>
        <v>3292.49</v>
      </c>
      <c r="F10" s="4"/>
      <c r="G10" s="1"/>
      <c r="H10" s="1"/>
      <c r="I10" s="1"/>
      <c r="J10" s="1"/>
      <c r="K10" s="1"/>
      <c r="L10" s="1"/>
      <c r="M10" s="15"/>
      <c r="N10" s="3"/>
      <c r="Y10" s="4"/>
      <c r="Z10" s="4"/>
      <c r="AA10" s="4"/>
    </row>
    <row r="11" spans="1:27" ht="12.75">
      <c r="A11">
        <v>15</v>
      </c>
      <c r="B11" s="4"/>
      <c r="C11" s="4">
        <v>5.1</v>
      </c>
      <c r="D11" s="4">
        <f t="shared" si="0"/>
        <v>101.79</v>
      </c>
      <c r="E11" s="4">
        <f t="shared" si="1"/>
        <v>3292.5099999999998</v>
      </c>
      <c r="F11" s="4"/>
      <c r="G11" s="1"/>
      <c r="H11" s="1"/>
      <c r="I11" s="1"/>
      <c r="J11" s="1"/>
      <c r="K11" s="1"/>
      <c r="L11" s="1"/>
      <c r="M11" s="15"/>
      <c r="N11" s="3"/>
      <c r="Y11" s="4"/>
      <c r="Z11" s="4"/>
      <c r="AA11" s="4"/>
    </row>
    <row r="12" spans="1:27" ht="12.75">
      <c r="A12">
        <v>20</v>
      </c>
      <c r="B12" s="4"/>
      <c r="C12" s="4">
        <v>5.06</v>
      </c>
      <c r="D12" s="4">
        <f t="shared" si="0"/>
        <v>101.83</v>
      </c>
      <c r="E12" s="4">
        <f t="shared" si="1"/>
        <v>3292.5499999999997</v>
      </c>
      <c r="F12" s="4"/>
      <c r="G12" s="20"/>
      <c r="H12" s="20"/>
      <c r="I12" s="20"/>
      <c r="J12" s="20"/>
      <c r="K12" s="1"/>
      <c r="L12" s="20"/>
      <c r="M12" s="3"/>
      <c r="Y12" s="4"/>
      <c r="Z12" s="4"/>
      <c r="AA12" s="4"/>
    </row>
    <row r="13" spans="1:27" ht="12.75">
      <c r="A13">
        <v>25</v>
      </c>
      <c r="B13" s="4"/>
      <c r="C13" s="4">
        <v>4.88</v>
      </c>
      <c r="D13" s="4">
        <f t="shared" si="0"/>
        <v>102.01</v>
      </c>
      <c r="E13" s="4">
        <f t="shared" si="1"/>
        <v>3292.73</v>
      </c>
      <c r="F13" s="4"/>
      <c r="G13" s="19"/>
      <c r="H13" s="19"/>
      <c r="I13" s="19"/>
      <c r="J13" s="19"/>
      <c r="K13" s="4"/>
      <c r="L13" s="19"/>
      <c r="Y13" s="4"/>
      <c r="Z13" s="4"/>
      <c r="AA13" s="4"/>
    </row>
    <row r="14" spans="1:27" ht="12.75">
      <c r="A14">
        <v>30</v>
      </c>
      <c r="B14" s="4"/>
      <c r="C14" s="4">
        <v>4.87</v>
      </c>
      <c r="D14" s="4">
        <f t="shared" si="0"/>
        <v>102.02</v>
      </c>
      <c r="E14" s="4">
        <f t="shared" si="1"/>
        <v>3292.74</v>
      </c>
      <c r="F14" s="4"/>
      <c r="G14" s="19"/>
      <c r="H14" s="19"/>
      <c r="I14" s="19"/>
      <c r="J14" s="19"/>
      <c r="K14" s="1"/>
      <c r="L14" s="19"/>
      <c r="Y14" s="4"/>
      <c r="Z14" s="4"/>
      <c r="AA14" s="4"/>
    </row>
    <row r="15" spans="1:27" ht="12.75">
      <c r="A15">
        <v>35</v>
      </c>
      <c r="B15" s="4"/>
      <c r="C15" s="4">
        <v>4.95</v>
      </c>
      <c r="D15" s="4">
        <f t="shared" si="0"/>
        <v>101.94</v>
      </c>
      <c r="E15" s="4">
        <f t="shared" si="1"/>
        <v>3292.66</v>
      </c>
      <c r="F15" s="4"/>
      <c r="G15" s="19"/>
      <c r="H15" s="19"/>
      <c r="I15" s="19"/>
      <c r="J15" s="19"/>
      <c r="K15" s="1">
        <v>102.5</v>
      </c>
      <c r="L15" s="19"/>
      <c r="Y15" s="4"/>
      <c r="Z15" s="4"/>
      <c r="AA15" s="4"/>
    </row>
    <row r="16" spans="1:27" ht="12.75">
      <c r="A16">
        <v>40</v>
      </c>
      <c r="B16" s="4"/>
      <c r="C16" s="4">
        <v>5.71</v>
      </c>
      <c r="D16" s="4">
        <f t="shared" si="0"/>
        <v>101.18</v>
      </c>
      <c r="E16" s="4">
        <f t="shared" si="1"/>
        <v>3291.8999999999996</v>
      </c>
      <c r="F16" s="4"/>
      <c r="G16" s="19"/>
      <c r="H16" s="19"/>
      <c r="I16" s="19"/>
      <c r="J16" s="19"/>
      <c r="K16" s="1"/>
      <c r="L16" s="19"/>
      <c r="Y16" s="4"/>
      <c r="Z16" s="4"/>
      <c r="AA16" s="4"/>
    </row>
    <row r="17" spans="1:27" ht="12.75">
      <c r="A17">
        <v>41</v>
      </c>
      <c r="B17" s="4"/>
      <c r="C17" s="4">
        <v>5.89</v>
      </c>
      <c r="D17" s="4">
        <f t="shared" si="0"/>
        <v>101</v>
      </c>
      <c r="E17" s="4">
        <f t="shared" si="1"/>
        <v>3291.72</v>
      </c>
      <c r="F17" s="4"/>
      <c r="G17" s="19"/>
      <c r="H17" s="19"/>
      <c r="I17" s="19"/>
      <c r="J17" s="19"/>
      <c r="K17" s="1"/>
      <c r="L17" s="19"/>
      <c r="Y17" s="4"/>
      <c r="Z17" s="4"/>
      <c r="AA17" s="4"/>
    </row>
    <row r="18" spans="1:27" ht="12.75">
      <c r="A18">
        <v>42</v>
      </c>
      <c r="B18" s="4"/>
      <c r="C18" s="4">
        <v>5.91</v>
      </c>
      <c r="D18" s="4">
        <f t="shared" si="0"/>
        <v>100.98</v>
      </c>
      <c r="E18" s="4">
        <f t="shared" si="1"/>
        <v>3291.7</v>
      </c>
      <c r="F18" s="4"/>
      <c r="G18" s="19"/>
      <c r="H18" s="19"/>
      <c r="I18" s="19"/>
      <c r="J18" s="4"/>
      <c r="K18" s="4"/>
      <c r="Y18" s="4"/>
      <c r="Z18" s="4"/>
      <c r="AA18" s="4"/>
    </row>
    <row r="19" spans="1:27" ht="12.75">
      <c r="A19">
        <v>43</v>
      </c>
      <c r="B19" s="4"/>
      <c r="C19" s="4">
        <v>5.97</v>
      </c>
      <c r="D19" s="4">
        <f t="shared" si="0"/>
        <v>100.92</v>
      </c>
      <c r="E19" s="4">
        <f t="shared" si="1"/>
        <v>3291.64</v>
      </c>
      <c r="F19" s="4"/>
      <c r="G19" s="1"/>
      <c r="H19" s="1"/>
      <c r="I19" s="19"/>
      <c r="J19" s="19"/>
      <c r="K19" s="1"/>
      <c r="Y19" s="4"/>
      <c r="Z19" s="4"/>
      <c r="AA19" s="4"/>
    </row>
    <row r="20" spans="1:27" ht="12.75">
      <c r="A20">
        <v>44</v>
      </c>
      <c r="B20" s="4"/>
      <c r="C20" s="4">
        <v>6.03</v>
      </c>
      <c r="D20" s="4">
        <f t="shared" si="0"/>
        <v>100.86</v>
      </c>
      <c r="E20" s="4">
        <f t="shared" si="1"/>
        <v>3291.58</v>
      </c>
      <c r="F20" s="4"/>
      <c r="G20" s="1"/>
      <c r="H20" s="1"/>
      <c r="I20" s="19"/>
      <c r="J20" s="19"/>
      <c r="K20" s="1"/>
      <c r="L20" s="19"/>
      <c r="Y20" s="4"/>
      <c r="Z20" s="4"/>
      <c r="AA20" s="4"/>
    </row>
    <row r="21" spans="1:27" ht="12.75">
      <c r="A21">
        <v>45</v>
      </c>
      <c r="B21" s="4"/>
      <c r="C21" s="4">
        <v>5.96</v>
      </c>
      <c r="D21" s="4">
        <f t="shared" si="0"/>
        <v>100.93</v>
      </c>
      <c r="E21" s="4">
        <f t="shared" si="1"/>
        <v>3291.6499999999996</v>
      </c>
      <c r="F21" s="4"/>
      <c r="G21" s="1"/>
      <c r="H21" s="1"/>
      <c r="I21" s="19"/>
      <c r="J21" s="19">
        <v>100.93</v>
      </c>
      <c r="K21" s="1"/>
      <c r="L21" s="19" t="s">
        <v>72</v>
      </c>
      <c r="Y21" s="4"/>
      <c r="Z21" s="4"/>
      <c r="AA21" s="4"/>
    </row>
    <row r="22" spans="1:27" ht="12.75">
      <c r="A22">
        <v>46</v>
      </c>
      <c r="B22" s="4"/>
      <c r="C22" s="4">
        <v>6.09</v>
      </c>
      <c r="D22" s="4">
        <f t="shared" si="0"/>
        <v>100.8</v>
      </c>
      <c r="E22" s="4">
        <f t="shared" si="1"/>
        <v>3291.52</v>
      </c>
      <c r="F22" s="4"/>
      <c r="G22" s="1"/>
      <c r="H22" s="1">
        <f>+(A22-A21)*($D$21-D22)*0.5</f>
        <v>0.06500000000000483</v>
      </c>
      <c r="I22" s="1"/>
      <c r="J22" s="19">
        <v>100.93</v>
      </c>
      <c r="K22" s="1"/>
      <c r="L22" s="19"/>
      <c r="Y22" s="4"/>
      <c r="Z22" s="4"/>
      <c r="AA22" s="4"/>
    </row>
    <row r="23" spans="1:27" ht="12.75">
      <c r="A23">
        <v>47</v>
      </c>
      <c r="B23" s="4"/>
      <c r="C23" s="4">
        <v>6.25</v>
      </c>
      <c r="D23" s="4">
        <f t="shared" si="0"/>
        <v>100.64</v>
      </c>
      <c r="E23" s="4">
        <f t="shared" si="1"/>
        <v>3291.3599999999997</v>
      </c>
      <c r="F23" s="4"/>
      <c r="G23" s="1"/>
      <c r="H23" s="1">
        <f>+(A23-A22)*($D$21-D23)</f>
        <v>0.29000000000000625</v>
      </c>
      <c r="I23" s="1"/>
      <c r="J23" s="19">
        <v>100.93</v>
      </c>
      <c r="K23" s="1"/>
      <c r="L23" s="19"/>
      <c r="Y23" s="4"/>
      <c r="Z23" s="4"/>
      <c r="AA23" s="4"/>
    </row>
    <row r="24" spans="1:27" ht="12.75">
      <c r="A24">
        <v>47.2</v>
      </c>
      <c r="B24" s="4"/>
      <c r="C24" s="4">
        <v>6.29</v>
      </c>
      <c r="D24" s="4">
        <f t="shared" si="0"/>
        <v>100.6</v>
      </c>
      <c r="E24" s="4">
        <f t="shared" si="1"/>
        <v>3291.3199999999997</v>
      </c>
      <c r="F24" s="4"/>
      <c r="G24" s="1"/>
      <c r="H24" s="1">
        <f aca="true" t="shared" si="2" ref="H24:H35">+(A24-A23)*($D$21-D24)</f>
        <v>0.06600000000000344</v>
      </c>
      <c r="I24" s="19"/>
      <c r="J24" s="19">
        <v>100.93</v>
      </c>
      <c r="K24" s="1"/>
      <c r="L24" s="19" t="s">
        <v>121</v>
      </c>
      <c r="Y24" s="4"/>
      <c r="Z24" s="4"/>
      <c r="AA24" s="4"/>
    </row>
    <row r="25" spans="1:27" ht="12.75">
      <c r="A25">
        <v>48</v>
      </c>
      <c r="B25" s="4"/>
      <c r="C25" s="4">
        <v>6.64</v>
      </c>
      <c r="D25" s="4">
        <f t="shared" si="0"/>
        <v>100.25</v>
      </c>
      <c r="E25" s="4">
        <f t="shared" si="1"/>
        <v>3290.97</v>
      </c>
      <c r="F25" s="4"/>
      <c r="G25" s="1"/>
      <c r="H25" s="1">
        <f t="shared" si="2"/>
        <v>0.5440000000000035</v>
      </c>
      <c r="I25" s="19"/>
      <c r="J25" s="19">
        <v>100.93</v>
      </c>
      <c r="K25" s="1"/>
      <c r="L25" s="19"/>
      <c r="Y25" s="4"/>
      <c r="Z25" s="4"/>
      <c r="AA25" s="4"/>
    </row>
    <row r="26" spans="1:27" ht="12.75">
      <c r="A26">
        <v>48.8</v>
      </c>
      <c r="B26" s="4"/>
      <c r="C26" s="4">
        <v>7.06</v>
      </c>
      <c r="D26" s="4">
        <f t="shared" si="0"/>
        <v>99.83</v>
      </c>
      <c r="E26" s="4">
        <f t="shared" si="1"/>
        <v>3290.5499999999997</v>
      </c>
      <c r="F26" s="4">
        <v>0</v>
      </c>
      <c r="G26" s="1">
        <f aca="true" t="shared" si="3" ref="G26:G34">+D26+F26</f>
        <v>99.83</v>
      </c>
      <c r="H26" s="1">
        <f t="shared" si="2"/>
        <v>0.8800000000000037</v>
      </c>
      <c r="I26" s="19"/>
      <c r="J26" s="19">
        <v>100.93</v>
      </c>
      <c r="K26" s="1"/>
      <c r="L26" s="19" t="s">
        <v>61</v>
      </c>
      <c r="W26" s="14"/>
      <c r="Y26" s="4"/>
      <c r="Z26" s="4"/>
      <c r="AA26" s="4"/>
    </row>
    <row r="27" spans="1:27" ht="12.75">
      <c r="A27">
        <v>49</v>
      </c>
      <c r="B27" s="4"/>
      <c r="C27" s="4">
        <v>7.24</v>
      </c>
      <c r="D27" s="4">
        <f t="shared" si="0"/>
        <v>99.65</v>
      </c>
      <c r="E27" s="4">
        <f t="shared" si="1"/>
        <v>3290.37</v>
      </c>
      <c r="F27" s="4">
        <v>0.16</v>
      </c>
      <c r="G27" s="1">
        <f t="shared" si="3"/>
        <v>99.81</v>
      </c>
      <c r="H27" s="1">
        <f t="shared" si="2"/>
        <v>0.2560000000000039</v>
      </c>
      <c r="I27" s="1"/>
      <c r="J27" s="19">
        <v>100.93</v>
      </c>
      <c r="K27" s="1"/>
      <c r="L27" s="19"/>
      <c r="Y27" s="4"/>
      <c r="Z27" s="4"/>
      <c r="AA27" s="4"/>
    </row>
    <row r="28" spans="1:27" ht="12.75">
      <c r="A28">
        <v>50</v>
      </c>
      <c r="B28" s="4"/>
      <c r="C28" s="4">
        <v>7.36</v>
      </c>
      <c r="D28" s="4">
        <f t="shared" si="0"/>
        <v>99.53</v>
      </c>
      <c r="E28" s="4">
        <f t="shared" si="1"/>
        <v>3290.25</v>
      </c>
      <c r="F28" s="4">
        <v>0.26</v>
      </c>
      <c r="G28" s="1">
        <f t="shared" si="3"/>
        <v>99.79</v>
      </c>
      <c r="H28" s="1">
        <f t="shared" si="2"/>
        <v>1.4000000000000057</v>
      </c>
      <c r="I28" s="1"/>
      <c r="J28" s="19">
        <v>100.93</v>
      </c>
      <c r="K28" s="1"/>
      <c r="L28" s="19"/>
      <c r="Y28" s="4"/>
      <c r="Z28" s="4"/>
      <c r="AA28" s="4"/>
    </row>
    <row r="29" spans="1:27" ht="12.75">
      <c r="A29">
        <v>51</v>
      </c>
      <c r="B29" s="4"/>
      <c r="C29" s="4">
        <v>7.31</v>
      </c>
      <c r="D29" s="4">
        <f t="shared" si="0"/>
        <v>99.58</v>
      </c>
      <c r="E29" s="4">
        <f t="shared" si="1"/>
        <v>3290.2999999999997</v>
      </c>
      <c r="F29" s="4">
        <v>0.24</v>
      </c>
      <c r="G29" s="1">
        <f t="shared" si="3"/>
        <v>99.82</v>
      </c>
      <c r="H29" s="1">
        <f t="shared" si="2"/>
        <v>1.3500000000000085</v>
      </c>
      <c r="I29" s="1"/>
      <c r="J29" s="19">
        <v>100.93</v>
      </c>
      <c r="K29" s="1"/>
      <c r="L29" t="s">
        <v>37</v>
      </c>
      <c r="Y29" s="4"/>
      <c r="Z29" s="4"/>
      <c r="AA29" s="4"/>
    </row>
    <row r="30" spans="1:27" ht="12.75">
      <c r="A30">
        <v>52</v>
      </c>
      <c r="B30" s="4"/>
      <c r="C30" s="4">
        <v>7.31</v>
      </c>
      <c r="D30" s="4">
        <f t="shared" si="0"/>
        <v>99.58</v>
      </c>
      <c r="E30" s="4">
        <f t="shared" si="1"/>
        <v>3290.2999999999997</v>
      </c>
      <c r="F30" s="4">
        <v>0.23</v>
      </c>
      <c r="G30" s="1">
        <f t="shared" si="3"/>
        <v>99.81</v>
      </c>
      <c r="H30" s="1">
        <f t="shared" si="2"/>
        <v>1.3500000000000085</v>
      </c>
      <c r="I30" s="1"/>
      <c r="J30" s="19">
        <v>100.93</v>
      </c>
      <c r="K30" s="1"/>
      <c r="L30" t="s">
        <v>37</v>
      </c>
      <c r="Y30" s="4"/>
      <c r="Z30" s="4"/>
      <c r="AA30" s="4"/>
    </row>
    <row r="31" spans="1:27" ht="12.75">
      <c r="A31">
        <v>53</v>
      </c>
      <c r="B31" s="4"/>
      <c r="C31" s="4">
        <v>7.36</v>
      </c>
      <c r="D31" s="4">
        <f t="shared" si="0"/>
        <v>99.53</v>
      </c>
      <c r="E31" s="4">
        <f t="shared" si="1"/>
        <v>3290.25</v>
      </c>
      <c r="F31" s="4">
        <v>0.26</v>
      </c>
      <c r="G31" s="1">
        <f t="shared" si="3"/>
        <v>99.79</v>
      </c>
      <c r="H31" s="1">
        <f t="shared" si="2"/>
        <v>1.4000000000000057</v>
      </c>
      <c r="I31" s="1"/>
      <c r="J31" s="19">
        <v>100.93</v>
      </c>
      <c r="K31" s="1"/>
      <c r="Y31" s="4"/>
      <c r="Z31" s="4"/>
      <c r="AA31" s="4"/>
    </row>
    <row r="32" spans="1:27" ht="12.75">
      <c r="A32">
        <v>54</v>
      </c>
      <c r="B32" s="4"/>
      <c r="C32" s="4">
        <v>7.44</v>
      </c>
      <c r="D32" s="4">
        <f t="shared" si="0"/>
        <v>99.45</v>
      </c>
      <c r="E32" s="4">
        <f t="shared" si="1"/>
        <v>3290.1699999999996</v>
      </c>
      <c r="F32" s="4">
        <v>0.34</v>
      </c>
      <c r="G32" s="1">
        <f t="shared" si="3"/>
        <v>99.79</v>
      </c>
      <c r="H32" s="1">
        <f t="shared" si="2"/>
        <v>1.480000000000004</v>
      </c>
      <c r="I32" s="1"/>
      <c r="J32" s="19">
        <v>100.93</v>
      </c>
      <c r="K32" s="1"/>
      <c r="L32" s="19"/>
      <c r="Y32" s="4"/>
      <c r="Z32" s="4"/>
      <c r="AA32" s="4"/>
    </row>
    <row r="33" spans="1:27" ht="12.75">
      <c r="A33">
        <v>55</v>
      </c>
      <c r="B33" s="4"/>
      <c r="C33" s="4">
        <v>7.49</v>
      </c>
      <c r="D33" s="4">
        <f t="shared" si="0"/>
        <v>99.4</v>
      </c>
      <c r="E33" s="4">
        <f t="shared" si="1"/>
        <v>3290.12</v>
      </c>
      <c r="F33" s="4">
        <v>0.4</v>
      </c>
      <c r="G33" s="1">
        <f t="shared" si="3"/>
        <v>99.80000000000001</v>
      </c>
      <c r="H33" s="1">
        <f t="shared" si="2"/>
        <v>1.5300000000000011</v>
      </c>
      <c r="I33" s="19"/>
      <c r="J33" s="19">
        <v>100.93</v>
      </c>
      <c r="K33" s="1"/>
      <c r="L33" s="19"/>
      <c r="W33" s="6"/>
      <c r="Z33" s="4"/>
      <c r="AA33" s="4"/>
    </row>
    <row r="34" spans="1:27" ht="12.75">
      <c r="A34">
        <v>55.5</v>
      </c>
      <c r="B34" s="4"/>
      <c r="C34" s="4">
        <v>7.45</v>
      </c>
      <c r="D34" s="4">
        <f t="shared" si="0"/>
        <v>99.44</v>
      </c>
      <c r="E34" s="4">
        <f t="shared" si="1"/>
        <v>3290.16</v>
      </c>
      <c r="F34" s="4">
        <v>0.34</v>
      </c>
      <c r="G34" s="1">
        <f t="shared" si="3"/>
        <v>99.78</v>
      </c>
      <c r="H34" s="1">
        <f t="shared" si="2"/>
        <v>0.7450000000000045</v>
      </c>
      <c r="I34" s="19">
        <v>0.62</v>
      </c>
      <c r="J34" s="19">
        <v>100.93</v>
      </c>
      <c r="K34" s="1"/>
      <c r="L34" s="19" t="s">
        <v>79</v>
      </c>
      <c r="W34" s="6"/>
      <c r="Z34" s="4"/>
      <c r="AA34" s="4"/>
    </row>
    <row r="35" spans="1:27" ht="12.75">
      <c r="A35">
        <v>55.5</v>
      </c>
      <c r="B35" s="4"/>
      <c r="C35" s="4">
        <v>6.29</v>
      </c>
      <c r="D35" s="4">
        <f t="shared" si="0"/>
        <v>100.6</v>
      </c>
      <c r="E35" s="4">
        <f t="shared" si="1"/>
        <v>3291.3199999999997</v>
      </c>
      <c r="F35" s="4">
        <v>0</v>
      </c>
      <c r="G35" s="1"/>
      <c r="H35" s="1">
        <f t="shared" si="2"/>
        <v>0</v>
      </c>
      <c r="I35" s="19"/>
      <c r="J35" s="19">
        <v>100.93</v>
      </c>
      <c r="K35" s="1"/>
      <c r="L35" s="19" t="s">
        <v>120</v>
      </c>
      <c r="W35" s="6"/>
      <c r="Z35" s="4"/>
      <c r="AA35" s="4"/>
    </row>
    <row r="36" spans="1:27" ht="12.75">
      <c r="A36">
        <v>55.7</v>
      </c>
      <c r="B36" s="4"/>
      <c r="C36" s="4">
        <v>5.96</v>
      </c>
      <c r="D36" s="4">
        <v>100.93</v>
      </c>
      <c r="E36" s="4"/>
      <c r="F36" s="4"/>
      <c r="G36" s="1"/>
      <c r="H36" s="1">
        <f>+(A36-A35)*($D$21-D35)</f>
        <v>0.06600000000000344</v>
      </c>
      <c r="I36" s="19"/>
      <c r="J36" s="19">
        <v>100.93</v>
      </c>
      <c r="K36" s="1"/>
      <c r="L36" s="19" t="s">
        <v>72</v>
      </c>
      <c r="W36" s="6"/>
      <c r="Z36" s="4"/>
      <c r="AA36" s="4"/>
    </row>
    <row r="37" spans="1:27" ht="12.75">
      <c r="A37">
        <v>56</v>
      </c>
      <c r="B37" s="4"/>
      <c r="C37" s="4">
        <v>5.72</v>
      </c>
      <c r="D37" s="4">
        <f t="shared" si="0"/>
        <v>101.17</v>
      </c>
      <c r="E37" s="4">
        <f t="shared" si="1"/>
        <v>3291.89</v>
      </c>
      <c r="F37" s="4"/>
      <c r="G37" s="19"/>
      <c r="H37" s="19"/>
      <c r="I37" s="19"/>
      <c r="J37" s="19"/>
      <c r="K37" s="1"/>
      <c r="L37" t="s">
        <v>78</v>
      </c>
      <c r="W37" s="6"/>
      <c r="Y37" s="4"/>
      <c r="Z37" s="4"/>
      <c r="AA37" s="4"/>
    </row>
    <row r="38" spans="1:27" ht="12.75">
      <c r="A38">
        <v>57</v>
      </c>
      <c r="B38" s="4"/>
      <c r="C38" s="4">
        <v>5.37</v>
      </c>
      <c r="D38" s="4">
        <f t="shared" si="0"/>
        <v>101.52</v>
      </c>
      <c r="E38" s="4">
        <f t="shared" si="1"/>
        <v>3292.24</v>
      </c>
      <c r="F38" s="4"/>
      <c r="G38" s="19"/>
      <c r="H38" s="19"/>
      <c r="I38" s="19"/>
      <c r="J38" s="19"/>
      <c r="K38" s="1"/>
      <c r="L38" s="19"/>
      <c r="W38" s="6"/>
      <c r="Z38" s="4"/>
      <c r="AA38" s="4"/>
    </row>
    <row r="39" spans="1:27" ht="12.75">
      <c r="A39">
        <v>58</v>
      </c>
      <c r="B39" s="4"/>
      <c r="C39" s="4">
        <v>5.18</v>
      </c>
      <c r="D39" s="4">
        <f t="shared" si="0"/>
        <v>101.71000000000001</v>
      </c>
      <c r="E39" s="4">
        <f t="shared" si="1"/>
        <v>3292.43</v>
      </c>
      <c r="F39" s="4"/>
      <c r="G39" s="19"/>
      <c r="H39" s="19"/>
      <c r="I39" s="19"/>
      <c r="J39" s="19"/>
      <c r="K39" s="1"/>
      <c r="L39" s="19"/>
      <c r="W39" s="6"/>
      <c r="Z39" s="4"/>
      <c r="AA39" s="4"/>
    </row>
    <row r="40" spans="1:27" ht="12.75">
      <c r="A40">
        <v>59</v>
      </c>
      <c r="B40" s="4"/>
      <c r="C40" s="4">
        <v>5.16</v>
      </c>
      <c r="D40" s="4">
        <f t="shared" si="0"/>
        <v>101.73</v>
      </c>
      <c r="E40" s="4">
        <f t="shared" si="1"/>
        <v>3292.45</v>
      </c>
      <c r="F40" s="4"/>
      <c r="G40" s="19"/>
      <c r="H40" s="19"/>
      <c r="I40" s="19"/>
      <c r="J40" s="19"/>
      <c r="K40" s="1"/>
      <c r="L40" s="19"/>
      <c r="W40" s="6"/>
      <c r="Z40" s="4"/>
      <c r="AA40" s="4"/>
    </row>
    <row r="41" spans="1:27" ht="12.75">
      <c r="A41">
        <v>60</v>
      </c>
      <c r="B41" s="4"/>
      <c r="C41" s="4">
        <v>5.17</v>
      </c>
      <c r="D41" s="4">
        <f t="shared" si="0"/>
        <v>101.72</v>
      </c>
      <c r="E41" s="4">
        <f t="shared" si="1"/>
        <v>3292.4399999999996</v>
      </c>
      <c r="F41" s="4"/>
      <c r="G41" s="19"/>
      <c r="H41" s="19"/>
      <c r="I41" s="19"/>
      <c r="J41" s="19"/>
      <c r="K41" s="1"/>
      <c r="L41" s="19" t="s">
        <v>64</v>
      </c>
      <c r="W41" s="6"/>
      <c r="Z41" s="4"/>
      <c r="AA41" s="4"/>
    </row>
    <row r="42" spans="1:28" ht="12.75">
      <c r="A42">
        <v>65</v>
      </c>
      <c r="C42" s="4">
        <v>5.03</v>
      </c>
      <c r="D42" s="4">
        <f t="shared" si="0"/>
        <v>101.86</v>
      </c>
      <c r="E42" s="4">
        <f t="shared" si="1"/>
        <v>3292.58</v>
      </c>
      <c r="F42" s="4"/>
      <c r="G42" s="19"/>
      <c r="H42" s="19"/>
      <c r="I42" s="19"/>
      <c r="J42" s="19"/>
      <c r="K42" s="1">
        <v>102.5</v>
      </c>
      <c r="L42" s="19"/>
      <c r="W42" s="6"/>
      <c r="Z42" s="4"/>
      <c r="AA42" s="4"/>
      <c r="AB42" s="4"/>
    </row>
    <row r="43" spans="1:23" ht="12.75">
      <c r="A43">
        <v>70</v>
      </c>
      <c r="C43" s="4">
        <v>4.89</v>
      </c>
      <c r="D43" s="4">
        <f t="shared" si="0"/>
        <v>102</v>
      </c>
      <c r="E43" s="4">
        <f t="shared" si="1"/>
        <v>3292.72</v>
      </c>
      <c r="F43" s="4"/>
      <c r="G43" s="19"/>
      <c r="H43" s="19"/>
      <c r="I43" s="19"/>
      <c r="J43" s="19"/>
      <c r="K43" s="1"/>
      <c r="L43" s="19"/>
      <c r="W43" s="6"/>
    </row>
    <row r="44" spans="1:27" ht="12.75">
      <c r="A44">
        <v>75</v>
      </c>
      <c r="C44" s="4">
        <v>4.94</v>
      </c>
      <c r="D44" s="4">
        <f t="shared" si="0"/>
        <v>101.95</v>
      </c>
      <c r="E44" s="4">
        <f t="shared" si="1"/>
        <v>3292.6699999999996</v>
      </c>
      <c r="F44" s="4"/>
      <c r="G44" s="19"/>
      <c r="H44" s="19"/>
      <c r="I44" s="19"/>
      <c r="J44" s="19"/>
      <c r="K44" s="1"/>
      <c r="L44" s="19"/>
      <c r="W44" s="6"/>
      <c r="Z44" s="4"/>
      <c r="AA44" s="4"/>
    </row>
    <row r="45" spans="1:11" ht="12.75">
      <c r="A45">
        <v>80</v>
      </c>
      <c r="C45" s="4">
        <v>5.01</v>
      </c>
      <c r="D45" s="4">
        <f t="shared" si="0"/>
        <v>101.88</v>
      </c>
      <c r="E45" s="4">
        <f t="shared" si="1"/>
        <v>3292.6</v>
      </c>
      <c r="F45" s="4"/>
      <c r="G45" s="19"/>
      <c r="H45" s="19"/>
      <c r="I45" s="19"/>
      <c r="J45" s="19"/>
      <c r="K45" s="1"/>
    </row>
    <row r="46" spans="1:12" ht="12.75">
      <c r="A46">
        <v>85</v>
      </c>
      <c r="C46" s="4">
        <v>5.2</v>
      </c>
      <c r="D46" s="4">
        <f t="shared" si="0"/>
        <v>101.69</v>
      </c>
      <c r="E46" s="4">
        <f t="shared" si="1"/>
        <v>3292.41</v>
      </c>
      <c r="G46" s="19"/>
      <c r="H46" s="19"/>
      <c r="I46" s="19"/>
      <c r="J46" s="19"/>
      <c r="K46" s="1"/>
      <c r="L46" s="19"/>
    </row>
    <row r="47" spans="1:12" ht="12.75">
      <c r="A47">
        <v>90</v>
      </c>
      <c r="C47" s="4">
        <v>5.48</v>
      </c>
      <c r="D47" s="4">
        <f t="shared" si="0"/>
        <v>101.41</v>
      </c>
      <c r="E47" s="4">
        <f t="shared" si="1"/>
        <v>3292.1299999999997</v>
      </c>
      <c r="F47" s="4"/>
      <c r="G47" s="19"/>
      <c r="H47" s="19"/>
      <c r="I47" s="19"/>
      <c r="J47" s="19"/>
      <c r="K47" s="1"/>
      <c r="L47" s="19"/>
    </row>
    <row r="48" spans="1:12" ht="12.75">
      <c r="A48">
        <v>95</v>
      </c>
      <c r="B48" s="4"/>
      <c r="C48" s="4">
        <v>5.62</v>
      </c>
      <c r="D48" s="4">
        <f t="shared" si="0"/>
        <v>101.27</v>
      </c>
      <c r="E48" s="4">
        <f t="shared" si="1"/>
        <v>3291.99</v>
      </c>
      <c r="F48" s="4"/>
      <c r="G48" s="19"/>
      <c r="H48" s="19"/>
      <c r="I48" s="19"/>
      <c r="J48" s="19"/>
      <c r="K48" s="1"/>
      <c r="L48" s="19"/>
    </row>
    <row r="49" spans="1:12" ht="12.75">
      <c r="A49">
        <v>100</v>
      </c>
      <c r="C49" s="4">
        <v>5.62</v>
      </c>
      <c r="D49" s="4">
        <f t="shared" si="0"/>
        <v>101.27</v>
      </c>
      <c r="E49" s="4">
        <f t="shared" si="1"/>
        <v>3291.99</v>
      </c>
      <c r="F49" s="4"/>
      <c r="G49" s="19"/>
      <c r="H49" s="1">
        <f>SUM(H22:H36)</f>
        <v>11.422000000000068</v>
      </c>
      <c r="I49" s="19"/>
      <c r="J49" s="19"/>
      <c r="K49" s="1">
        <v>102.5</v>
      </c>
      <c r="L49" s="19" t="s">
        <v>65</v>
      </c>
    </row>
    <row r="50" spans="2:12" ht="12.75">
      <c r="B50" s="4"/>
      <c r="D50" s="4" t="s">
        <v>69</v>
      </c>
      <c r="E50" s="4"/>
      <c r="F50" s="4"/>
      <c r="G50" s="19"/>
      <c r="H50" s="19"/>
      <c r="I50" s="19"/>
      <c r="J50" s="19"/>
      <c r="K50" s="1"/>
      <c r="L50" s="19"/>
    </row>
    <row r="51" spans="2:12" ht="12.75">
      <c r="B51" s="4" t="s">
        <v>15</v>
      </c>
      <c r="C51" s="4">
        <f>MAX(C8:C42)</f>
        <v>7.49</v>
      </c>
      <c r="D51" s="4">
        <v>99.44</v>
      </c>
      <c r="E51" s="4"/>
      <c r="F51" s="4"/>
      <c r="G51" s="19"/>
      <c r="H51" s="19"/>
      <c r="I51" s="19"/>
      <c r="J51" s="19"/>
      <c r="K51" s="1"/>
      <c r="L51" s="19"/>
    </row>
    <row r="52" spans="2:12" ht="12.75">
      <c r="B52" s="4" t="s">
        <v>66</v>
      </c>
      <c r="C52" s="4">
        <v>5.96</v>
      </c>
      <c r="D52" s="4">
        <v>100.6</v>
      </c>
      <c r="E52" s="4"/>
      <c r="F52" s="4"/>
      <c r="G52" s="19"/>
      <c r="H52" s="19"/>
      <c r="I52" s="19"/>
      <c r="J52" s="19"/>
      <c r="K52" s="1"/>
      <c r="L52" s="19"/>
    </row>
    <row r="53" spans="2:12" ht="12.75">
      <c r="B53" s="4" t="s">
        <v>67</v>
      </c>
      <c r="C53" s="4">
        <f>+C51-C52</f>
        <v>1.5300000000000002</v>
      </c>
      <c r="D53" s="4"/>
      <c r="E53" s="4"/>
      <c r="F53" s="4"/>
      <c r="G53" s="19"/>
      <c r="H53" s="19"/>
      <c r="I53" s="19"/>
      <c r="J53" s="19"/>
      <c r="K53" s="1"/>
      <c r="L53" s="19"/>
    </row>
    <row r="54" spans="2:12" ht="12.75">
      <c r="B54" t="s">
        <v>68</v>
      </c>
      <c r="D54">
        <f>+D51+(2*C53)</f>
        <v>102.5</v>
      </c>
      <c r="E54" s="4"/>
      <c r="G54" s="19"/>
      <c r="H54" s="19"/>
      <c r="I54" s="19"/>
      <c r="J54" s="19"/>
      <c r="K54" s="1"/>
      <c r="L54" s="19"/>
    </row>
    <row r="55" spans="2:11" ht="12.75">
      <c r="B55" t="s">
        <v>123</v>
      </c>
      <c r="C55" s="6" t="s">
        <v>124</v>
      </c>
      <c r="D55">
        <v>200</v>
      </c>
      <c r="K55" s="4"/>
    </row>
    <row r="56" spans="2:11" ht="12.75">
      <c r="B56" t="s">
        <v>125</v>
      </c>
      <c r="C56">
        <f>+A36-A21</f>
        <v>10.700000000000003</v>
      </c>
      <c r="K56" s="4"/>
    </row>
    <row r="57" spans="2:11" ht="12.75">
      <c r="B57" t="s">
        <v>126</v>
      </c>
      <c r="C57" s="4">
        <f>+C58/C56</f>
        <v>1.0674766355140248</v>
      </c>
      <c r="K57" s="4"/>
    </row>
    <row r="58" spans="2:11" ht="12.75">
      <c r="B58" t="s">
        <v>127</v>
      </c>
      <c r="C58" s="4">
        <f>+H49</f>
        <v>11.422000000000068</v>
      </c>
      <c r="K58" s="4"/>
    </row>
    <row r="59" spans="2:11" ht="12.75">
      <c r="B59" t="s">
        <v>130</v>
      </c>
      <c r="C59" s="4">
        <f>+C56/C57</f>
        <v>10.023638592190455</v>
      </c>
      <c r="K59" s="4"/>
    </row>
    <row r="60" spans="2:11" ht="12.75">
      <c r="B60" t="s">
        <v>131</v>
      </c>
      <c r="C60" s="6" t="s">
        <v>132</v>
      </c>
      <c r="K60" s="4"/>
    </row>
    <row r="61" spans="3:11" ht="12.75">
      <c r="C61"/>
      <c r="K61" s="4"/>
    </row>
    <row r="62" ht="12.75">
      <c r="K62" s="4"/>
    </row>
    <row r="63" ht="12.75">
      <c r="K63" s="4"/>
    </row>
    <row r="64" ht="12.75">
      <c r="K64" s="4"/>
    </row>
    <row r="65" ht="12.75">
      <c r="K65" s="4"/>
    </row>
    <row r="66" ht="12.75">
      <c r="K66" s="4"/>
    </row>
    <row r="67" ht="12.75">
      <c r="K67" s="4"/>
    </row>
    <row r="68" ht="12.75">
      <c r="K68" s="4"/>
    </row>
    <row r="69" ht="12.75">
      <c r="K69" s="4"/>
    </row>
    <row r="70" ht="12.75">
      <c r="K70" s="4"/>
    </row>
    <row r="71" ht="12.75">
      <c r="K71" s="4"/>
    </row>
    <row r="72" ht="12.75">
      <c r="K72" s="4"/>
    </row>
    <row r="73" ht="12.75">
      <c r="K73" s="4"/>
    </row>
    <row r="74" ht="12.75">
      <c r="K74" s="4"/>
    </row>
    <row r="75" ht="12.75">
      <c r="K75" s="4"/>
    </row>
    <row r="76" ht="12.75">
      <c r="K76" s="4"/>
    </row>
    <row r="77" ht="12.75">
      <c r="K77" s="4"/>
    </row>
    <row r="78" ht="12.75">
      <c r="K78" s="4"/>
    </row>
    <row r="79" ht="12.75">
      <c r="K79" s="4"/>
    </row>
    <row r="80" ht="12.75">
      <c r="K80" s="4"/>
    </row>
    <row r="81" ht="12.75">
      <c r="K81" s="4"/>
    </row>
    <row r="82" ht="12.75">
      <c r="K82" s="4"/>
    </row>
    <row r="83" ht="12.75">
      <c r="K83" s="4"/>
    </row>
    <row r="84" ht="12.75">
      <c r="K84" s="4"/>
    </row>
    <row r="85" ht="12.75">
      <c r="K85" s="4"/>
    </row>
    <row r="86" ht="12.75">
      <c r="K86" s="4"/>
    </row>
    <row r="87" ht="12.75">
      <c r="K87" s="4"/>
    </row>
    <row r="88" ht="12.75">
      <c r="K88" s="4"/>
    </row>
    <row r="89" ht="12.75">
      <c r="K89" s="4"/>
    </row>
    <row r="90" ht="12.75">
      <c r="K90" s="4"/>
    </row>
    <row r="91" ht="12.75">
      <c r="K91" s="4"/>
    </row>
    <row r="92" ht="12.75">
      <c r="K92" s="4"/>
    </row>
    <row r="93" ht="12.75">
      <c r="K93" s="4"/>
    </row>
    <row r="94" ht="12.75">
      <c r="K94" s="4"/>
    </row>
    <row r="95" ht="12.75">
      <c r="K95" s="4"/>
    </row>
    <row r="96" ht="12.75">
      <c r="K96" s="4"/>
    </row>
    <row r="97" ht="12.75">
      <c r="K97" s="4"/>
    </row>
    <row r="98" ht="12.75">
      <c r="K98" s="4"/>
    </row>
    <row r="99" ht="12.75">
      <c r="K99" s="4"/>
    </row>
    <row r="100" ht="12.75">
      <c r="K100" s="4"/>
    </row>
    <row r="101" ht="12.75">
      <c r="K101" s="4"/>
    </row>
    <row r="102" ht="12.75">
      <c r="K102" s="4"/>
    </row>
    <row r="103" ht="12.75">
      <c r="K103" s="4"/>
    </row>
    <row r="104" ht="12.75">
      <c r="K104" s="4"/>
    </row>
    <row r="105" ht="12.75">
      <c r="K105" s="4"/>
    </row>
    <row r="106" ht="12.75">
      <c r="K106" s="4"/>
    </row>
    <row r="107" ht="12.75">
      <c r="K107" s="4"/>
    </row>
    <row r="108" ht="12.75">
      <c r="K108" s="4"/>
    </row>
    <row r="109" ht="12.75">
      <c r="K109" s="4"/>
    </row>
    <row r="110" ht="12.75">
      <c r="K110" s="4"/>
    </row>
    <row r="111" ht="12.75">
      <c r="K111" s="4"/>
    </row>
    <row r="112" ht="12.75">
      <c r="K112" s="4"/>
    </row>
    <row r="113" ht="12.75">
      <c r="K113" s="4"/>
    </row>
    <row r="114" ht="12.75">
      <c r="K114" s="4"/>
    </row>
    <row r="115" ht="12.75">
      <c r="K115" s="4"/>
    </row>
    <row r="116" ht="12.75">
      <c r="K116" s="4"/>
    </row>
    <row r="117" ht="12.75">
      <c r="K117" s="4"/>
    </row>
    <row r="118" ht="12.75">
      <c r="K118" s="4"/>
    </row>
    <row r="119" ht="12.75">
      <c r="K119" s="4"/>
    </row>
    <row r="120" ht="12.75">
      <c r="K120" s="4"/>
    </row>
  </sheetData>
  <printOptions/>
  <pageMargins left="0.75" right="0.75" top="1" bottom="1" header="0.5" footer="0.5"/>
  <pageSetup fitToHeight="1" fitToWidth="1" horizontalDpi="300" verticalDpi="300" orientation="portrait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70"/>
  <sheetViews>
    <sheetView tabSelected="1" zoomScale="50" zoomScaleNormal="50" workbookViewId="0" topLeftCell="F1">
      <selection activeCell="AG2" sqref="AG2"/>
    </sheetView>
  </sheetViews>
  <sheetFormatPr defaultColWidth="9.140625" defaultRowHeight="12.75"/>
  <cols>
    <col min="1" max="1" width="7.57421875" style="0" customWidth="1"/>
    <col min="3" max="3" width="13.00390625" style="0" customWidth="1"/>
    <col min="4" max="4" width="10.7109375" style="29" customWidth="1"/>
    <col min="5" max="5" width="10.7109375" style="4" customWidth="1"/>
    <col min="6" max="6" width="17.8515625" style="0" customWidth="1"/>
    <col min="7" max="7" width="10.7109375" style="0" customWidth="1"/>
    <col min="8" max="8" width="7.421875" style="0" customWidth="1"/>
    <col min="9" max="9" width="10.140625" style="29" customWidth="1"/>
    <col min="10" max="10" width="12.421875" style="29" customWidth="1"/>
    <col min="11" max="11" width="9.28125" style="37" customWidth="1"/>
    <col min="12" max="12" width="9.140625" style="4" customWidth="1"/>
    <col min="13" max="13" width="9.00390625" style="4" customWidth="1"/>
    <col min="14" max="14" width="9.7109375" style="4" customWidth="1"/>
    <col min="15" max="15" width="8.7109375" style="4" customWidth="1"/>
    <col min="16" max="16" width="8.8515625" style="4" customWidth="1"/>
    <col min="17" max="17" width="8.421875" style="4" customWidth="1"/>
    <col min="18" max="19" width="8.7109375" style="1" customWidth="1"/>
    <col min="20" max="20" width="8.8515625" style="1" customWidth="1"/>
    <col min="21" max="21" width="9.00390625" style="19" customWidth="1"/>
    <col min="22" max="22" width="7.8515625" style="68" customWidth="1"/>
    <col min="23" max="23" width="7.28125" style="76" customWidth="1"/>
    <col min="24" max="40" width="10.28125" style="0" customWidth="1"/>
    <col min="41" max="41" width="14.8515625" style="0" customWidth="1"/>
    <col min="42" max="42" width="10.28125" style="0" customWidth="1"/>
    <col min="43" max="43" width="9.57421875" style="4" customWidth="1"/>
    <col min="44" max="45" width="10.28125" style="4" customWidth="1"/>
    <col min="46" max="46" width="10.28125" style="15" customWidth="1"/>
    <col min="47" max="47" width="10.28125" style="4" customWidth="1"/>
    <col min="48" max="48" width="10.28125" style="0" customWidth="1"/>
    <col min="49" max="49" width="12.57421875" style="0" customWidth="1"/>
    <col min="50" max="51" width="10.28125" style="0" customWidth="1"/>
    <col min="52" max="52" width="13.140625" style="0" customWidth="1"/>
    <col min="53" max="53" width="10.28125" style="0" customWidth="1"/>
    <col min="54" max="54" width="12.57421875" style="0" customWidth="1"/>
    <col min="55" max="16384" width="10.28125" style="0" customWidth="1"/>
  </cols>
  <sheetData>
    <row r="1" spans="17:22" ht="12.75">
      <c r="Q1" s="1"/>
      <c r="V1" s="69"/>
    </row>
    <row r="2" spans="9:23" ht="20.25">
      <c r="I2" s="206" t="s">
        <v>234</v>
      </c>
      <c r="J2" s="91"/>
      <c r="K2" s="126"/>
      <c r="Q2" s="1"/>
      <c r="V2" s="69"/>
      <c r="W2" s="77"/>
    </row>
    <row r="3" spans="9:23" ht="12.75">
      <c r="I3" s="31" t="s">
        <v>157</v>
      </c>
      <c r="J3" s="31"/>
      <c r="V3" s="70"/>
      <c r="W3" s="78"/>
    </row>
    <row r="4" spans="9:23" ht="12.75">
      <c r="I4" s="43" t="s">
        <v>80</v>
      </c>
      <c r="J4" s="43"/>
      <c r="K4" s="127"/>
      <c r="L4" s="44">
        <v>36815</v>
      </c>
      <c r="M4" s="35" t="s">
        <v>288</v>
      </c>
      <c r="N4" s="35"/>
      <c r="R4" s="1" t="s">
        <v>222</v>
      </c>
      <c r="V4" s="70"/>
      <c r="W4" s="79"/>
    </row>
    <row r="5" spans="1:23" ht="15.75">
      <c r="A5" s="7" t="s">
        <v>2</v>
      </c>
      <c r="B5" s="16"/>
      <c r="C5" s="16"/>
      <c r="D5" s="31"/>
      <c r="E5" s="207" t="s">
        <v>260</v>
      </c>
      <c r="F5" s="16"/>
      <c r="G5" s="16"/>
      <c r="H5" s="16"/>
      <c r="M5" s="21" t="s">
        <v>289</v>
      </c>
      <c r="N5" s="21"/>
      <c r="O5" s="21"/>
      <c r="P5" s="21"/>
      <c r="R5" s="102" t="s">
        <v>224</v>
      </c>
      <c r="T5" s="101" t="s">
        <v>212</v>
      </c>
      <c r="V5" s="70"/>
      <c r="W5" s="78"/>
    </row>
    <row r="6" spans="1:25" ht="12.75">
      <c r="A6" s="17" t="s">
        <v>5</v>
      </c>
      <c r="B6" s="16" t="s">
        <v>4</v>
      </c>
      <c r="C6" s="16" t="b">
        <v>1</v>
      </c>
      <c r="E6" s="21"/>
      <c r="F6" s="16"/>
      <c r="G6" s="52" t="s">
        <v>160</v>
      </c>
      <c r="H6" s="52"/>
      <c r="I6" s="32" t="s">
        <v>1</v>
      </c>
      <c r="J6" s="32"/>
      <c r="K6" s="128"/>
      <c r="L6" s="35" t="s">
        <v>159</v>
      </c>
      <c r="M6" s="88" t="s">
        <v>159</v>
      </c>
      <c r="N6" s="88" t="s">
        <v>210</v>
      </c>
      <c r="O6" s="88" t="s">
        <v>56</v>
      </c>
      <c r="P6" s="88" t="s">
        <v>7</v>
      </c>
      <c r="Q6" s="52" t="s">
        <v>160</v>
      </c>
      <c r="R6" s="52" t="s">
        <v>223</v>
      </c>
      <c r="S6" s="50" t="s">
        <v>215</v>
      </c>
      <c r="T6" s="93" t="s">
        <v>213</v>
      </c>
      <c r="U6" s="71" t="s">
        <v>232</v>
      </c>
      <c r="V6" s="71" t="s">
        <v>19</v>
      </c>
      <c r="W6" s="77" t="s">
        <v>20</v>
      </c>
      <c r="X6" t="s">
        <v>141</v>
      </c>
      <c r="Y6" t="s">
        <v>229</v>
      </c>
    </row>
    <row r="7" spans="1:25" ht="12.75">
      <c r="A7" s="11" t="s">
        <v>10</v>
      </c>
      <c r="B7" s="11" t="s">
        <v>9</v>
      </c>
      <c r="C7" s="24" t="s">
        <v>14</v>
      </c>
      <c r="D7" s="33" t="s">
        <v>8</v>
      </c>
      <c r="E7" s="23" t="s">
        <v>11</v>
      </c>
      <c r="F7" s="147" t="s">
        <v>231</v>
      </c>
      <c r="G7" s="24" t="s">
        <v>14</v>
      </c>
      <c r="H7" s="24"/>
      <c r="I7" s="33" t="s">
        <v>8</v>
      </c>
      <c r="J7" s="147" t="s">
        <v>231</v>
      </c>
      <c r="K7" s="129" t="s">
        <v>226</v>
      </c>
      <c r="L7" s="23" t="s">
        <v>11</v>
      </c>
      <c r="M7" s="24" t="s">
        <v>14</v>
      </c>
      <c r="N7" s="24" t="s">
        <v>14</v>
      </c>
      <c r="O7" s="24" t="s">
        <v>14</v>
      </c>
      <c r="P7" s="24" t="s">
        <v>14</v>
      </c>
      <c r="Q7" s="24" t="s">
        <v>14</v>
      </c>
      <c r="R7" s="24" t="s">
        <v>14</v>
      </c>
      <c r="S7" s="24" t="s">
        <v>14</v>
      </c>
      <c r="T7" s="100" t="s">
        <v>214</v>
      </c>
      <c r="U7" s="148" t="s">
        <v>233</v>
      </c>
      <c r="V7" s="72" t="s">
        <v>21</v>
      </c>
      <c r="W7" s="80" t="s">
        <v>21</v>
      </c>
      <c r="X7" s="62" t="s">
        <v>142</v>
      </c>
      <c r="Y7" t="s">
        <v>230</v>
      </c>
    </row>
    <row r="8" spans="1:40" ht="12.75">
      <c r="A8" s="4">
        <f>+B8+C8</f>
        <v>3294.8143992</v>
      </c>
      <c r="B8" s="4">
        <v>15.33</v>
      </c>
      <c r="C8" s="4">
        <f>999.599*3.2808</f>
        <v>3279.4843992</v>
      </c>
      <c r="D8" s="4">
        <f>C8/3.2808</f>
        <v>999.5989999999999</v>
      </c>
      <c r="F8" s="4"/>
      <c r="G8" s="4"/>
      <c r="H8" s="4"/>
      <c r="I8" s="37" t="s">
        <v>48</v>
      </c>
      <c r="J8" s="37"/>
      <c r="O8" t="s">
        <v>290</v>
      </c>
      <c r="AN8" s="153" t="s">
        <v>239</v>
      </c>
    </row>
    <row r="9" spans="1:15" ht="12.75">
      <c r="A9" s="4">
        <f>+M9+B9</f>
        <v>104.19</v>
      </c>
      <c r="B9" s="4">
        <v>4.19</v>
      </c>
      <c r="C9" s="4">
        <f>+A8-B9</f>
        <v>3290.6243992</v>
      </c>
      <c r="F9" s="4"/>
      <c r="G9" s="4"/>
      <c r="H9" s="4"/>
      <c r="I9" s="30" t="s">
        <v>22</v>
      </c>
      <c r="J9" s="30"/>
      <c r="K9" s="130"/>
      <c r="M9" s="42">
        <v>100</v>
      </c>
      <c r="N9" s="98">
        <v>1002.994</v>
      </c>
      <c r="O9" s="38" t="s">
        <v>161</v>
      </c>
    </row>
    <row r="10" spans="1:48" ht="12.75">
      <c r="A10" s="4"/>
      <c r="B10" s="4"/>
      <c r="C10" s="4">
        <v>3285.58</v>
      </c>
      <c r="I10" s="30" t="s">
        <v>306</v>
      </c>
      <c r="K10" s="130"/>
      <c r="O10" t="s">
        <v>158</v>
      </c>
      <c r="AM10" s="163"/>
      <c r="AN10" s="164"/>
      <c r="AO10" s="164"/>
      <c r="AP10" s="164"/>
      <c r="AQ10" s="165" t="s">
        <v>238</v>
      </c>
      <c r="AR10" s="165" t="s">
        <v>160</v>
      </c>
      <c r="AS10" s="165"/>
      <c r="AT10" s="166" t="s">
        <v>160</v>
      </c>
      <c r="AU10" s="165" t="s">
        <v>144</v>
      </c>
      <c r="AV10" s="167"/>
    </row>
    <row r="11" spans="1:54" ht="15.75">
      <c r="A11" s="4">
        <v>104.1</v>
      </c>
      <c r="B11" s="4"/>
      <c r="C11" s="4"/>
      <c r="K11" s="130"/>
      <c r="AM11" s="168"/>
      <c r="AN11" s="154" t="s">
        <v>235</v>
      </c>
      <c r="AO11" s="154" t="s">
        <v>236</v>
      </c>
      <c r="AP11" s="154" t="s">
        <v>226</v>
      </c>
      <c r="AQ11" s="155" t="s">
        <v>159</v>
      </c>
      <c r="AR11" s="155" t="s">
        <v>69</v>
      </c>
      <c r="AS11" s="169" t="s">
        <v>11</v>
      </c>
      <c r="AT11" s="156" t="s">
        <v>237</v>
      </c>
      <c r="AU11" s="155" t="s">
        <v>69</v>
      </c>
      <c r="AV11" s="170" t="s">
        <v>11</v>
      </c>
      <c r="AW11" s="191" t="s">
        <v>242</v>
      </c>
      <c r="AX11" s="192"/>
      <c r="AY11" s="192"/>
      <c r="AZ11" s="192"/>
      <c r="BA11" s="192"/>
      <c r="BB11" s="167"/>
    </row>
    <row r="12" spans="1:54" ht="12.75">
      <c r="A12" s="4"/>
      <c r="B12" s="4"/>
      <c r="C12" s="4">
        <f>3290.62-100+G12</f>
        <v>3290.0099999999998</v>
      </c>
      <c r="D12" s="29">
        <v>0</v>
      </c>
      <c r="E12" s="4">
        <v>4.71</v>
      </c>
      <c r="F12" t="s">
        <v>162</v>
      </c>
      <c r="G12" s="4">
        <f aca="true" t="shared" si="0" ref="G12:G43">+$A$11-E12</f>
        <v>99.39</v>
      </c>
      <c r="H12" s="4"/>
      <c r="I12" s="29">
        <v>0</v>
      </c>
      <c r="J12" s="29" t="s">
        <v>198</v>
      </c>
      <c r="K12" s="131" t="s">
        <v>216</v>
      </c>
      <c r="L12" s="104">
        <v>2.46</v>
      </c>
      <c r="M12" s="4">
        <f>+$A$9-L12</f>
        <v>101.73</v>
      </c>
      <c r="N12" s="99">
        <f>+$N$9+(M12-100)/3.2808</f>
        <v>1003.5213104120946</v>
      </c>
      <c r="O12" s="96">
        <v>100.89</v>
      </c>
      <c r="P12" s="96">
        <f>+Q12+0.45</f>
        <v>99.89</v>
      </c>
      <c r="Q12" s="116">
        <f>+R12+$P$77</f>
        <v>99.44</v>
      </c>
      <c r="R12" s="1">
        <v>99.14</v>
      </c>
      <c r="AM12" s="171"/>
      <c r="AN12" s="111">
        <v>0</v>
      </c>
      <c r="AO12" s="111" t="s">
        <v>198</v>
      </c>
      <c r="AP12" s="172" t="s">
        <v>216</v>
      </c>
      <c r="AQ12" s="173">
        <v>101.73</v>
      </c>
      <c r="AR12" s="174">
        <v>99.44</v>
      </c>
      <c r="AS12" s="174"/>
      <c r="AT12" s="175">
        <f>+AQ12-AR12</f>
        <v>2.2900000000000063</v>
      </c>
      <c r="AU12" s="173">
        <v>100.89</v>
      </c>
      <c r="AV12" s="171"/>
      <c r="AW12" s="193" t="s">
        <v>243</v>
      </c>
      <c r="AX12" s="186"/>
      <c r="AY12" s="186"/>
      <c r="AZ12" s="186" t="s">
        <v>283</v>
      </c>
      <c r="BA12" s="186"/>
      <c r="BB12" s="194"/>
    </row>
    <row r="13" spans="1:54" ht="12.75">
      <c r="A13" s="4"/>
      <c r="B13" s="4"/>
      <c r="C13" s="4">
        <f aca="true" t="shared" si="1" ref="C13:C76">3290.62-100+G13</f>
        <v>3289.7999999999997</v>
      </c>
      <c r="D13" s="29">
        <v>10</v>
      </c>
      <c r="E13" s="4">
        <v>4.92</v>
      </c>
      <c r="F13" t="s">
        <v>20</v>
      </c>
      <c r="G13" s="4">
        <f t="shared" si="0"/>
        <v>99.17999999999999</v>
      </c>
      <c r="H13" s="4"/>
      <c r="I13" s="29">
        <v>25</v>
      </c>
      <c r="J13" s="29" t="s">
        <v>32</v>
      </c>
      <c r="K13" s="131" t="s">
        <v>216</v>
      </c>
      <c r="L13" s="4">
        <v>2.58</v>
      </c>
      <c r="M13" s="4">
        <f>+$A$9-L13</f>
        <v>101.61</v>
      </c>
      <c r="N13" s="99">
        <f aca="true" t="shared" si="2" ref="N13:N72">+$N$9+(M13-100)/3.2808</f>
        <v>1003.484733967325</v>
      </c>
      <c r="O13" s="96">
        <f>+Q13+$O$77</f>
        <v>100.60684919966302</v>
      </c>
      <c r="P13" s="96">
        <f>+Q13+0.45</f>
        <v>99.65684919966301</v>
      </c>
      <c r="Q13" s="96">
        <f>+R13+$P$77</f>
        <v>99.20684919966301</v>
      </c>
      <c r="R13" s="1">
        <f>+R12-S13</f>
        <v>98.90684919966301</v>
      </c>
      <c r="S13" s="103">
        <f aca="true" t="shared" si="3" ref="S13:S28">+(I13-I12)*$R$74</f>
        <v>0.23315080033698388</v>
      </c>
      <c r="T13" s="143">
        <f aca="true" t="shared" si="4" ref="T13:T18">+(P12-P13)/(I13-I12)</f>
        <v>0.009326032013479448</v>
      </c>
      <c r="AM13" s="171"/>
      <c r="AN13" s="111">
        <v>25</v>
      </c>
      <c r="AO13" s="111" t="s">
        <v>32</v>
      </c>
      <c r="AP13" s="172" t="s">
        <v>216</v>
      </c>
      <c r="AQ13" s="173">
        <v>101.61</v>
      </c>
      <c r="AR13" s="176">
        <v>99.20684919966301</v>
      </c>
      <c r="AS13" s="176"/>
      <c r="AT13" s="175">
        <f aca="true" t="shared" si="5" ref="AT13:AT72">+AQ13-AR13</f>
        <v>2.403150800336988</v>
      </c>
      <c r="AU13" s="173">
        <v>100.60684919966302</v>
      </c>
      <c r="AV13" s="171"/>
      <c r="AW13" s="193" t="s">
        <v>244</v>
      </c>
      <c r="AX13" s="186"/>
      <c r="AY13" s="186"/>
      <c r="AZ13" s="186" t="s">
        <v>272</v>
      </c>
      <c r="BA13" s="186"/>
      <c r="BB13" s="194"/>
    </row>
    <row r="14" spans="1:54" ht="12.75">
      <c r="A14" s="4"/>
      <c r="B14" s="4"/>
      <c r="C14" s="4">
        <f t="shared" si="1"/>
        <v>3289.22</v>
      </c>
      <c r="D14" s="29">
        <v>20</v>
      </c>
      <c r="E14" s="66">
        <v>5.5</v>
      </c>
      <c r="F14" t="s">
        <v>261</v>
      </c>
      <c r="G14" s="4">
        <f t="shared" si="0"/>
        <v>98.6</v>
      </c>
      <c r="H14" s="4"/>
      <c r="I14" s="29">
        <v>50</v>
      </c>
      <c r="J14" s="29" t="s">
        <v>163</v>
      </c>
      <c r="K14" s="132" t="s">
        <v>217</v>
      </c>
      <c r="L14" s="4">
        <v>3.2</v>
      </c>
      <c r="M14" s="4">
        <f aca="true" t="shared" si="6" ref="M14:M30">+$A$9-L14</f>
        <v>100.99</v>
      </c>
      <c r="N14" s="99">
        <f t="shared" si="2"/>
        <v>1003.295755669349</v>
      </c>
      <c r="O14" s="121">
        <f>+Q14+$O$78</f>
        <v>100.37369839932603</v>
      </c>
      <c r="P14" s="115">
        <f>+Q14+0.9</f>
        <v>99.57369839932603</v>
      </c>
      <c r="Q14" s="121">
        <f>+R14+$P$78</f>
        <v>98.67369839932603</v>
      </c>
      <c r="R14" s="115">
        <f>+R13-S14</f>
        <v>98.67369839932603</v>
      </c>
      <c r="S14" s="138">
        <f t="shared" si="3"/>
        <v>0.23315080033698388</v>
      </c>
      <c r="T14" s="144">
        <f t="shared" si="4"/>
        <v>0.003326032013479221</v>
      </c>
      <c r="AM14" s="171"/>
      <c r="AN14" s="111">
        <v>50</v>
      </c>
      <c r="AO14" s="111" t="s">
        <v>163</v>
      </c>
      <c r="AP14" s="177" t="s">
        <v>217</v>
      </c>
      <c r="AQ14" s="173">
        <v>100.99</v>
      </c>
      <c r="AR14" s="178">
        <v>98.67369839932603</v>
      </c>
      <c r="AS14" s="178"/>
      <c r="AT14" s="175">
        <f t="shared" si="5"/>
        <v>2.3163016006739667</v>
      </c>
      <c r="AU14" s="173">
        <v>100.37369839932603</v>
      </c>
      <c r="AV14" s="171"/>
      <c r="AW14" s="193"/>
      <c r="AX14" s="186"/>
      <c r="AY14" s="186"/>
      <c r="AZ14" s="186"/>
      <c r="BA14" s="186"/>
      <c r="BB14" s="194"/>
    </row>
    <row r="15" spans="1:54" ht="15">
      <c r="A15" s="4"/>
      <c r="B15" s="4"/>
      <c r="C15" s="4">
        <f t="shared" si="1"/>
        <v>3289.02</v>
      </c>
      <c r="D15" s="187">
        <v>30</v>
      </c>
      <c r="E15" s="66">
        <v>5.7</v>
      </c>
      <c r="F15" t="s">
        <v>261</v>
      </c>
      <c r="G15" s="4">
        <f t="shared" si="0"/>
        <v>98.39999999999999</v>
      </c>
      <c r="H15" s="4"/>
      <c r="I15" s="29">
        <v>60</v>
      </c>
      <c r="J15" s="29" t="s">
        <v>164</v>
      </c>
      <c r="K15" s="133" t="s">
        <v>218</v>
      </c>
      <c r="L15" s="4">
        <v>2.88</v>
      </c>
      <c r="M15" s="4">
        <f t="shared" si="6"/>
        <v>101.31</v>
      </c>
      <c r="N15" s="99">
        <f t="shared" si="2"/>
        <v>1003.3932928554011</v>
      </c>
      <c r="O15" s="120">
        <f>+Q15+$O$79</f>
        <v>100.28043807919124</v>
      </c>
      <c r="P15" s="120">
        <f>+Q15+1.9</f>
        <v>99.28043807919124</v>
      </c>
      <c r="Q15" s="120">
        <f>+R15+$P$79</f>
        <v>97.38043807919124</v>
      </c>
      <c r="R15" s="121">
        <f>+R14-S15</f>
        <v>98.58043807919124</v>
      </c>
      <c r="S15" s="103">
        <f t="shared" si="3"/>
        <v>0.09326032013479355</v>
      </c>
      <c r="T15" s="145">
        <f t="shared" si="4"/>
        <v>0.029326032013479164</v>
      </c>
      <c r="U15" s="19">
        <v>70</v>
      </c>
      <c r="V15" s="68">
        <f>I15-I13</f>
        <v>35</v>
      </c>
      <c r="X15">
        <v>120</v>
      </c>
      <c r="Y15">
        <v>17</v>
      </c>
      <c r="AM15" s="171" t="s">
        <v>258</v>
      </c>
      <c r="AN15" s="111">
        <v>60</v>
      </c>
      <c r="AO15" s="111" t="s">
        <v>164</v>
      </c>
      <c r="AP15" s="179" t="s">
        <v>218</v>
      </c>
      <c r="AQ15" s="173">
        <v>101.31</v>
      </c>
      <c r="AR15" s="180">
        <v>97.38043807919124</v>
      </c>
      <c r="AS15" s="180"/>
      <c r="AT15" s="175">
        <f t="shared" si="5"/>
        <v>3.9295619208087658</v>
      </c>
      <c r="AU15" s="173">
        <v>100.28043807919124</v>
      </c>
      <c r="AV15" s="171"/>
      <c r="AW15" s="195" t="s">
        <v>282</v>
      </c>
      <c r="AX15" s="186"/>
      <c r="AY15" s="186"/>
      <c r="AZ15" s="186"/>
      <c r="BA15" s="186"/>
      <c r="BB15" s="194"/>
    </row>
    <row r="16" spans="1:54" ht="12.75">
      <c r="A16" s="4"/>
      <c r="B16" s="4"/>
      <c r="C16" s="4">
        <f t="shared" si="1"/>
        <v>3289.22</v>
      </c>
      <c r="D16" s="29">
        <v>40</v>
      </c>
      <c r="E16" s="66">
        <v>5.5</v>
      </c>
      <c r="F16" t="s">
        <v>261</v>
      </c>
      <c r="G16" s="4">
        <f t="shared" si="0"/>
        <v>98.6</v>
      </c>
      <c r="H16" s="4"/>
      <c r="I16" s="29">
        <v>67</v>
      </c>
      <c r="J16" s="29" t="s">
        <v>227</v>
      </c>
      <c r="K16" s="139" t="s">
        <v>217</v>
      </c>
      <c r="M16" s="66">
        <v>101</v>
      </c>
      <c r="N16" s="99">
        <f t="shared" si="2"/>
        <v>1003.2988037064131</v>
      </c>
      <c r="O16" s="121">
        <f>+Q16+$O$78</f>
        <v>100.21515585509688</v>
      </c>
      <c r="P16" s="115">
        <f>+Q16+0.9</f>
        <v>99.41515585509688</v>
      </c>
      <c r="Q16" s="121">
        <f>+R16+$P$78</f>
        <v>98.51515585509688</v>
      </c>
      <c r="R16" s="121">
        <f>+R15-S16</f>
        <v>98.51515585509688</v>
      </c>
      <c r="S16" s="103">
        <f t="shared" si="3"/>
        <v>0.06528222409435548</v>
      </c>
      <c r="T16" s="144">
        <f t="shared" si="4"/>
        <v>-0.01924539655794888</v>
      </c>
      <c r="AM16" s="171"/>
      <c r="AN16" s="111">
        <v>67</v>
      </c>
      <c r="AO16" s="111" t="s">
        <v>227</v>
      </c>
      <c r="AP16" s="181" t="s">
        <v>217</v>
      </c>
      <c r="AQ16" s="173">
        <v>101</v>
      </c>
      <c r="AR16" s="178">
        <v>98.51515585509688</v>
      </c>
      <c r="AS16" s="178"/>
      <c r="AT16" s="175">
        <f t="shared" si="5"/>
        <v>2.4848441449031213</v>
      </c>
      <c r="AU16" s="173">
        <v>100.21515585509688</v>
      </c>
      <c r="AV16" s="171"/>
      <c r="AW16" s="196" t="s">
        <v>274</v>
      </c>
      <c r="AX16" s="190" t="s">
        <v>12</v>
      </c>
      <c r="AY16" s="190" t="s">
        <v>240</v>
      </c>
      <c r="AZ16" s="190" t="s">
        <v>245</v>
      </c>
      <c r="BA16" s="190" t="s">
        <v>219</v>
      </c>
      <c r="BB16" s="194"/>
    </row>
    <row r="17" spans="1:54" ht="12.75">
      <c r="A17" s="4"/>
      <c r="B17" s="4"/>
      <c r="C17" s="4">
        <f t="shared" si="1"/>
        <v>3289.42</v>
      </c>
      <c r="D17" s="29">
        <v>50</v>
      </c>
      <c r="E17" s="66">
        <v>5.3</v>
      </c>
      <c r="F17" t="s">
        <v>261</v>
      </c>
      <c r="G17" s="4">
        <f t="shared" si="0"/>
        <v>98.8</v>
      </c>
      <c r="H17" s="4"/>
      <c r="I17" s="29">
        <v>75</v>
      </c>
      <c r="J17" s="29" t="s">
        <v>162</v>
      </c>
      <c r="K17" s="131" t="s">
        <v>216</v>
      </c>
      <c r="L17" s="4">
        <v>3.41</v>
      </c>
      <c r="M17" s="4">
        <f t="shared" si="6"/>
        <v>100.78</v>
      </c>
      <c r="N17" s="99">
        <f t="shared" si="2"/>
        <v>1003.2317468910022</v>
      </c>
      <c r="O17" s="116">
        <f>+Q17+$O$77</f>
        <v>100.14054759898904</v>
      </c>
      <c r="P17" s="96">
        <f>+Q17+0.45</f>
        <v>99.19054759898904</v>
      </c>
      <c r="Q17" s="116">
        <f>+R17+$P$77</f>
        <v>98.74054759898904</v>
      </c>
      <c r="R17" s="121">
        <f>+R16-S17</f>
        <v>98.44054759898904</v>
      </c>
      <c r="S17" s="103">
        <f t="shared" si="3"/>
        <v>0.07460825610783484</v>
      </c>
      <c r="T17" s="143">
        <f t="shared" si="4"/>
        <v>0.0280760320134803</v>
      </c>
      <c r="W17" s="76">
        <f>I17-I15</f>
        <v>15</v>
      </c>
      <c r="AM17" s="171">
        <v>86.5</v>
      </c>
      <c r="AN17" s="111">
        <v>75</v>
      </c>
      <c r="AO17" s="111" t="s">
        <v>162</v>
      </c>
      <c r="AP17" s="172" t="s">
        <v>216</v>
      </c>
      <c r="AQ17" s="173">
        <v>100.78</v>
      </c>
      <c r="AR17" s="174">
        <v>98.74054759898904</v>
      </c>
      <c r="AS17" s="174"/>
      <c r="AT17" s="175">
        <f t="shared" si="5"/>
        <v>2.039452401010962</v>
      </c>
      <c r="AU17" s="173">
        <v>100.14054759898904</v>
      </c>
      <c r="AV17" s="171"/>
      <c r="AW17" s="197" t="s">
        <v>218</v>
      </c>
      <c r="AX17" s="198">
        <v>2.2</v>
      </c>
      <c r="AY17" s="198">
        <v>8.3</v>
      </c>
      <c r="AZ17" s="198">
        <v>18.5</v>
      </c>
      <c r="BA17" s="186">
        <v>2.9</v>
      </c>
      <c r="BB17" s="194"/>
    </row>
    <row r="18" spans="1:54" ht="12.75">
      <c r="A18" s="4"/>
      <c r="B18" s="4"/>
      <c r="C18" s="4">
        <f t="shared" si="1"/>
        <v>3289.21</v>
      </c>
      <c r="D18" s="29">
        <v>53</v>
      </c>
      <c r="E18" s="4">
        <v>5.51</v>
      </c>
      <c r="F18" t="s">
        <v>262</v>
      </c>
      <c r="G18" s="4">
        <f t="shared" si="0"/>
        <v>98.58999999999999</v>
      </c>
      <c r="H18" s="4"/>
      <c r="I18" s="29">
        <v>100</v>
      </c>
      <c r="J18" s="29" t="s">
        <v>165</v>
      </c>
      <c r="K18" s="132" t="s">
        <v>217</v>
      </c>
      <c r="L18" s="4">
        <v>3.33</v>
      </c>
      <c r="M18" s="4">
        <f t="shared" si="6"/>
        <v>100.86</v>
      </c>
      <c r="N18" s="99">
        <f t="shared" si="2"/>
        <v>1003.2561311875153</v>
      </c>
      <c r="O18" s="121">
        <f>+Q18+$O$78</f>
        <v>99.90739679865206</v>
      </c>
      <c r="P18" s="115">
        <f>+Q18+0.9</f>
        <v>99.10739679865206</v>
      </c>
      <c r="Q18" s="121">
        <f>+R18+$P$78</f>
        <v>98.20739679865206</v>
      </c>
      <c r="R18" s="121">
        <f aca="true" t="shared" si="7" ref="R18:R72">+R17-S18</f>
        <v>98.20739679865206</v>
      </c>
      <c r="S18" s="103">
        <f t="shared" si="3"/>
        <v>0.23315080033698388</v>
      </c>
      <c r="T18" s="144">
        <f t="shared" si="4"/>
        <v>0.003326032013479221</v>
      </c>
      <c r="X18">
        <v>87</v>
      </c>
      <c r="Y18">
        <v>23</v>
      </c>
      <c r="AM18" s="171"/>
      <c r="AN18" s="111">
        <v>100</v>
      </c>
      <c r="AO18" s="111" t="s">
        <v>165</v>
      </c>
      <c r="AP18" s="177" t="s">
        <v>217</v>
      </c>
      <c r="AQ18" s="173">
        <v>100.86</v>
      </c>
      <c r="AR18" s="178">
        <v>98.20739679865206</v>
      </c>
      <c r="AS18" s="178"/>
      <c r="AT18" s="175">
        <f t="shared" si="5"/>
        <v>2.6526032013479437</v>
      </c>
      <c r="AU18" s="173">
        <v>99.90739679865206</v>
      </c>
      <c r="AV18" s="171"/>
      <c r="AW18" s="197" t="s">
        <v>154</v>
      </c>
      <c r="AX18" s="199">
        <v>1</v>
      </c>
      <c r="AY18" s="198">
        <v>11.6</v>
      </c>
      <c r="AZ18" s="198">
        <v>11.6</v>
      </c>
      <c r="BA18" s="186">
        <v>1.4</v>
      </c>
      <c r="BB18" s="194"/>
    </row>
    <row r="19" spans="1:54" ht="12.75">
      <c r="A19" s="4"/>
      <c r="B19" s="4"/>
      <c r="C19" s="4">
        <f t="shared" si="1"/>
        <v>3288.02</v>
      </c>
      <c r="D19" s="29">
        <v>57</v>
      </c>
      <c r="E19" s="4">
        <v>6.7</v>
      </c>
      <c r="F19" t="s">
        <v>265</v>
      </c>
      <c r="G19" s="4">
        <f t="shared" si="0"/>
        <v>97.39999999999999</v>
      </c>
      <c r="H19" s="4"/>
      <c r="I19" s="29">
        <v>113</v>
      </c>
      <c r="J19" s="29" t="s">
        <v>166</v>
      </c>
      <c r="K19" s="133" t="s">
        <v>218</v>
      </c>
      <c r="L19" s="4">
        <v>3.3</v>
      </c>
      <c r="M19" s="4">
        <f t="shared" si="6"/>
        <v>100.89</v>
      </c>
      <c r="N19" s="99">
        <f t="shared" si="2"/>
        <v>1003.2652752987077</v>
      </c>
      <c r="O19" s="120">
        <f>+Q19+$O$79</f>
        <v>99.78615838247683</v>
      </c>
      <c r="P19" s="97">
        <f>+Q19+1.9</f>
        <v>98.78615838247683</v>
      </c>
      <c r="Q19" s="120">
        <f>+R19+$P$79</f>
        <v>96.88615838247682</v>
      </c>
      <c r="R19" s="121">
        <f t="shared" si="7"/>
        <v>98.08615838247682</v>
      </c>
      <c r="S19" s="103">
        <f t="shared" si="3"/>
        <v>0.12123841617523161</v>
      </c>
      <c r="T19" s="145">
        <f aca="true" t="shared" si="8" ref="T19:T72">+(P18-P19)/(I19-I18)</f>
        <v>0.02471064739809492</v>
      </c>
      <c r="U19" s="19">
        <v>46</v>
      </c>
      <c r="V19" s="68">
        <f>I19-I17</f>
        <v>38</v>
      </c>
      <c r="AM19" s="171"/>
      <c r="AN19" s="111">
        <v>113</v>
      </c>
      <c r="AO19" s="111" t="s">
        <v>166</v>
      </c>
      <c r="AP19" s="179" t="s">
        <v>218</v>
      </c>
      <c r="AQ19" s="173">
        <v>100.89</v>
      </c>
      <c r="AR19" s="180">
        <v>96.88615838247682</v>
      </c>
      <c r="AS19" s="180"/>
      <c r="AT19" s="175">
        <f t="shared" si="5"/>
        <v>4.003841617523179</v>
      </c>
      <c r="AU19" s="173">
        <v>99.78615838247683</v>
      </c>
      <c r="AV19" s="171"/>
      <c r="AW19" s="193" t="s">
        <v>246</v>
      </c>
      <c r="AX19" s="198"/>
      <c r="AY19" s="198"/>
      <c r="AZ19" s="198"/>
      <c r="BA19" s="186"/>
      <c r="BB19" s="194"/>
    </row>
    <row r="20" spans="1:54" ht="12.75">
      <c r="A20" s="4"/>
      <c r="B20" s="4"/>
      <c r="C20" s="4">
        <f t="shared" si="1"/>
        <v>3287.94</v>
      </c>
      <c r="D20" s="29">
        <v>60</v>
      </c>
      <c r="E20" s="4">
        <v>6.78</v>
      </c>
      <c r="F20" t="s">
        <v>164</v>
      </c>
      <c r="G20" s="4">
        <f t="shared" si="0"/>
        <v>97.32</v>
      </c>
      <c r="H20" s="4"/>
      <c r="I20" s="29">
        <v>125</v>
      </c>
      <c r="J20" s="29" t="s">
        <v>162</v>
      </c>
      <c r="K20" s="132" t="s">
        <v>217</v>
      </c>
      <c r="L20" s="4">
        <v>3.73</v>
      </c>
      <c r="M20" s="4">
        <f t="shared" si="6"/>
        <v>100.46</v>
      </c>
      <c r="N20" s="99">
        <f t="shared" si="2"/>
        <v>1003.1342097049501</v>
      </c>
      <c r="O20" s="121">
        <f>+Q20+$O$78</f>
        <v>99.67424599831507</v>
      </c>
      <c r="P20" s="115">
        <f>+Q20+0.9</f>
        <v>98.87424599831508</v>
      </c>
      <c r="Q20" s="121">
        <f>+R20+$P$78</f>
        <v>97.97424599831507</v>
      </c>
      <c r="R20" s="121">
        <f t="shared" si="7"/>
        <v>97.97424599831507</v>
      </c>
      <c r="S20" s="103">
        <f t="shared" si="3"/>
        <v>0.11191238416175225</v>
      </c>
      <c r="T20" s="146">
        <f t="shared" si="8"/>
        <v>-0.007340634653187313</v>
      </c>
      <c r="W20" s="76">
        <f>I20-I19</f>
        <v>12</v>
      </c>
      <c r="AM20" s="171"/>
      <c r="AN20" s="111">
        <v>125</v>
      </c>
      <c r="AO20" s="111" t="s">
        <v>162</v>
      </c>
      <c r="AP20" s="177" t="s">
        <v>217</v>
      </c>
      <c r="AQ20" s="173">
        <v>100.46</v>
      </c>
      <c r="AR20" s="178">
        <v>97.97424599831507</v>
      </c>
      <c r="AS20" s="178"/>
      <c r="AT20" s="175">
        <f t="shared" si="5"/>
        <v>2.485754001684924</v>
      </c>
      <c r="AU20" s="173">
        <v>99.67424599831507</v>
      </c>
      <c r="AV20" s="171"/>
      <c r="AW20" s="193" t="s">
        <v>247</v>
      </c>
      <c r="AX20" s="186"/>
      <c r="AY20" s="186"/>
      <c r="AZ20" s="186"/>
      <c r="BA20" s="186"/>
      <c r="BB20" s="194"/>
    </row>
    <row r="21" spans="1:54" ht="12.75">
      <c r="A21" s="4"/>
      <c r="B21" s="4"/>
      <c r="C21" s="4">
        <f t="shared" si="1"/>
        <v>3288.48</v>
      </c>
      <c r="D21" s="29">
        <v>67</v>
      </c>
      <c r="E21" s="4">
        <v>6.24</v>
      </c>
      <c r="F21" t="s">
        <v>264</v>
      </c>
      <c r="G21" s="4">
        <f t="shared" si="0"/>
        <v>97.86</v>
      </c>
      <c r="H21" s="4"/>
      <c r="I21" s="29">
        <v>140</v>
      </c>
      <c r="J21" s="29" t="s">
        <v>20</v>
      </c>
      <c r="K21" s="131" t="s">
        <v>216</v>
      </c>
      <c r="M21" s="66">
        <v>100.44</v>
      </c>
      <c r="N21" s="99">
        <f t="shared" si="2"/>
        <v>1003.1281136308218</v>
      </c>
      <c r="O21" s="116">
        <f>+Q21+$O$77</f>
        <v>99.53435551811289</v>
      </c>
      <c r="P21" s="96">
        <f>+Q21+0.45</f>
        <v>98.58435551811289</v>
      </c>
      <c r="Q21" s="116">
        <f>+R21+$P$77</f>
        <v>98.13435551811288</v>
      </c>
      <c r="R21" s="121">
        <f t="shared" si="7"/>
        <v>97.83435551811289</v>
      </c>
      <c r="S21" s="103">
        <f t="shared" si="3"/>
        <v>0.1398904802021903</v>
      </c>
      <c r="T21" s="143">
        <f t="shared" si="8"/>
        <v>0.01932603201347926</v>
      </c>
      <c r="AM21" s="171">
        <v>139.5</v>
      </c>
      <c r="AN21" s="111">
        <v>140</v>
      </c>
      <c r="AO21" s="111" t="s">
        <v>20</v>
      </c>
      <c r="AP21" s="172" t="s">
        <v>216</v>
      </c>
      <c r="AQ21" s="173">
        <v>100.44</v>
      </c>
      <c r="AR21" s="174">
        <v>98.13435551811288</v>
      </c>
      <c r="AS21" s="174"/>
      <c r="AT21" s="175">
        <f t="shared" si="5"/>
        <v>2.3056444818871142</v>
      </c>
      <c r="AU21" s="173">
        <v>99.53435551811289</v>
      </c>
      <c r="AV21" s="171"/>
      <c r="AW21" s="193" t="s">
        <v>248</v>
      </c>
      <c r="AX21" s="186"/>
      <c r="AY21" s="186"/>
      <c r="AZ21" s="186"/>
      <c r="BA21" s="186"/>
      <c r="BB21" s="194"/>
    </row>
    <row r="22" spans="1:54" ht="12.75">
      <c r="A22" s="4"/>
      <c r="B22" s="4"/>
      <c r="C22" s="4">
        <f t="shared" si="1"/>
        <v>3289.22</v>
      </c>
      <c r="D22" s="29">
        <v>73</v>
      </c>
      <c r="E22" s="4">
        <v>5.5</v>
      </c>
      <c r="F22" t="s">
        <v>162</v>
      </c>
      <c r="G22" s="4">
        <f t="shared" si="0"/>
        <v>98.6</v>
      </c>
      <c r="H22" s="4"/>
      <c r="I22" s="29">
        <v>150</v>
      </c>
      <c r="J22" s="29" t="s">
        <v>170</v>
      </c>
      <c r="K22" s="132" t="s">
        <v>217</v>
      </c>
      <c r="L22" s="4">
        <v>3.77</v>
      </c>
      <c r="M22" s="4">
        <f t="shared" si="6"/>
        <v>100.42</v>
      </c>
      <c r="N22" s="99">
        <f t="shared" si="2"/>
        <v>1003.1220175566935</v>
      </c>
      <c r="O22" s="121">
        <f>+Q22+$O$78</f>
        <v>99.4410951979781</v>
      </c>
      <c r="P22" s="115">
        <f>+Q22+0.9</f>
        <v>98.6410951979781</v>
      </c>
      <c r="Q22" s="121">
        <f>+R22+$P$78</f>
        <v>97.7410951979781</v>
      </c>
      <c r="R22" s="121">
        <f t="shared" si="7"/>
        <v>97.7410951979781</v>
      </c>
      <c r="S22" s="103">
        <f t="shared" si="3"/>
        <v>0.09326032013479355</v>
      </c>
      <c r="T22" s="146">
        <f t="shared" si="8"/>
        <v>-0.005673967986521688</v>
      </c>
      <c r="U22" s="19">
        <v>53</v>
      </c>
      <c r="V22" s="68">
        <f>I22-I20</f>
        <v>25</v>
      </c>
      <c r="X22">
        <v>90</v>
      </c>
      <c r="Y22">
        <v>15</v>
      </c>
      <c r="AM22" s="171"/>
      <c r="AN22" s="111">
        <v>150</v>
      </c>
      <c r="AO22" s="111" t="s">
        <v>170</v>
      </c>
      <c r="AP22" s="177" t="s">
        <v>217</v>
      </c>
      <c r="AQ22" s="173">
        <v>100.42</v>
      </c>
      <c r="AR22" s="178">
        <v>97.7410951979781</v>
      </c>
      <c r="AS22" s="178"/>
      <c r="AT22" s="175">
        <f t="shared" si="5"/>
        <v>2.678904802021904</v>
      </c>
      <c r="AU22" s="173">
        <v>99.4410951979781</v>
      </c>
      <c r="AV22" s="171"/>
      <c r="AW22" s="193" t="s">
        <v>249</v>
      </c>
      <c r="AX22" s="186"/>
      <c r="AY22" s="186"/>
      <c r="AZ22" s="186"/>
      <c r="BA22" s="186"/>
      <c r="BB22" s="194"/>
    </row>
    <row r="23" spans="1:54" ht="12.75">
      <c r="A23" s="4"/>
      <c r="B23" s="4"/>
      <c r="C23" s="4">
        <f t="shared" si="1"/>
        <v>3289.33</v>
      </c>
      <c r="D23" s="29">
        <v>80</v>
      </c>
      <c r="E23" s="4">
        <v>5.39</v>
      </c>
      <c r="F23" t="s">
        <v>20</v>
      </c>
      <c r="G23" s="4">
        <f t="shared" si="0"/>
        <v>98.71</v>
      </c>
      <c r="H23" s="4"/>
      <c r="I23" s="29">
        <v>166</v>
      </c>
      <c r="J23" s="29" t="s">
        <v>171</v>
      </c>
      <c r="K23" s="133" t="s">
        <v>218</v>
      </c>
      <c r="L23" s="4">
        <v>3.85</v>
      </c>
      <c r="M23" s="4">
        <f t="shared" si="6"/>
        <v>100.34</v>
      </c>
      <c r="N23" s="99">
        <f t="shared" si="2"/>
        <v>1003.0976332601805</v>
      </c>
      <c r="O23" s="120">
        <f>+Q23+$O$79</f>
        <v>99.29187868576243</v>
      </c>
      <c r="P23" s="97">
        <f>+Q23+1.9</f>
        <v>98.29187868576243</v>
      </c>
      <c r="Q23" s="120">
        <f>+R23+$P$79</f>
        <v>96.39187868576242</v>
      </c>
      <c r="R23" s="121">
        <f t="shared" si="7"/>
        <v>97.59187868576242</v>
      </c>
      <c r="S23" s="103">
        <f t="shared" si="3"/>
        <v>0.14921651221566967</v>
      </c>
      <c r="T23" s="145">
        <f t="shared" si="8"/>
        <v>0.021826032013479768</v>
      </c>
      <c r="W23" s="76">
        <f>I23-I22</f>
        <v>16</v>
      </c>
      <c r="AM23" s="171"/>
      <c r="AN23" s="111">
        <v>166</v>
      </c>
      <c r="AO23" s="111" t="s">
        <v>171</v>
      </c>
      <c r="AP23" s="179" t="s">
        <v>218</v>
      </c>
      <c r="AQ23" s="173">
        <v>100.34</v>
      </c>
      <c r="AR23" s="180">
        <v>96.39187868576242</v>
      </c>
      <c r="AS23" s="180"/>
      <c r="AT23" s="175">
        <f t="shared" si="5"/>
        <v>3.948121314237582</v>
      </c>
      <c r="AU23" s="173">
        <v>99.29187868576243</v>
      </c>
      <c r="AV23" s="171"/>
      <c r="AW23" s="193" t="s">
        <v>250</v>
      </c>
      <c r="AX23" s="186"/>
      <c r="AY23" s="186"/>
      <c r="AZ23" s="186"/>
      <c r="BA23" s="186"/>
      <c r="BB23" s="194"/>
    </row>
    <row r="24" spans="1:54" ht="12.75">
      <c r="A24" s="4"/>
      <c r="B24" s="4"/>
      <c r="C24" s="4">
        <f t="shared" si="1"/>
        <v>3289.35</v>
      </c>
      <c r="D24" s="29">
        <v>90</v>
      </c>
      <c r="E24" s="4">
        <v>5.37</v>
      </c>
      <c r="F24" t="s">
        <v>20</v>
      </c>
      <c r="G24" s="4">
        <f t="shared" si="0"/>
        <v>98.72999999999999</v>
      </c>
      <c r="H24" s="4"/>
      <c r="I24" s="29">
        <v>175</v>
      </c>
      <c r="J24" s="29" t="s">
        <v>172</v>
      </c>
      <c r="K24" s="132" t="s">
        <v>217</v>
      </c>
      <c r="L24" s="4">
        <v>4.05</v>
      </c>
      <c r="M24" s="4">
        <f t="shared" si="6"/>
        <v>100.14</v>
      </c>
      <c r="N24" s="99">
        <f t="shared" si="2"/>
        <v>1003.0366725188978</v>
      </c>
      <c r="O24" s="121">
        <f>+Q24+$O$78</f>
        <v>99.20794439764111</v>
      </c>
      <c r="P24" s="115">
        <f>+Q24+0.9</f>
        <v>98.40794439764112</v>
      </c>
      <c r="Q24" s="121">
        <f>+R24+$P$78</f>
        <v>97.50794439764111</v>
      </c>
      <c r="R24" s="121">
        <f t="shared" si="7"/>
        <v>97.50794439764111</v>
      </c>
      <c r="S24" s="103">
        <f t="shared" si="3"/>
        <v>0.08393428812131419</v>
      </c>
      <c r="T24" s="146">
        <f t="shared" si="8"/>
        <v>-0.012896190208743342</v>
      </c>
      <c r="V24" s="68">
        <f>I24-I23</f>
        <v>9</v>
      </c>
      <c r="AM24" s="171"/>
      <c r="AN24" s="111">
        <v>175</v>
      </c>
      <c r="AO24" s="111" t="s">
        <v>172</v>
      </c>
      <c r="AP24" s="177" t="s">
        <v>217</v>
      </c>
      <c r="AQ24" s="173">
        <v>100.14</v>
      </c>
      <c r="AR24" s="178">
        <v>97.50794439764111</v>
      </c>
      <c r="AS24" s="178"/>
      <c r="AT24" s="175">
        <f t="shared" si="5"/>
        <v>2.6320556023588892</v>
      </c>
      <c r="AU24" s="173">
        <v>99.20794439764111</v>
      </c>
      <c r="AV24" s="171"/>
      <c r="AW24" s="193" t="s">
        <v>251</v>
      </c>
      <c r="AX24" s="186"/>
      <c r="AY24" s="186"/>
      <c r="AZ24" s="186"/>
      <c r="BA24" s="186"/>
      <c r="BB24" s="194"/>
    </row>
    <row r="25" spans="1:54" ht="12.75">
      <c r="A25" s="4"/>
      <c r="B25" s="4"/>
      <c r="C25" s="4">
        <f t="shared" si="1"/>
        <v>3288.95</v>
      </c>
      <c r="D25" s="29">
        <v>100</v>
      </c>
      <c r="E25" s="4">
        <v>5.77</v>
      </c>
      <c r="F25" t="s">
        <v>262</v>
      </c>
      <c r="G25" s="4">
        <f t="shared" si="0"/>
        <v>98.33</v>
      </c>
      <c r="H25" s="4"/>
      <c r="I25" s="29">
        <v>200</v>
      </c>
      <c r="J25" s="29" t="s">
        <v>32</v>
      </c>
      <c r="K25" s="131" t="s">
        <v>216</v>
      </c>
      <c r="L25" s="4">
        <v>3.9</v>
      </c>
      <c r="M25" s="4">
        <f t="shared" si="6"/>
        <v>100.28999999999999</v>
      </c>
      <c r="N25" s="99">
        <f t="shared" si="2"/>
        <v>1003.0823930748599</v>
      </c>
      <c r="O25" s="116">
        <f>+Q25+$O$77</f>
        <v>98.97479359730413</v>
      </c>
      <c r="P25" s="96">
        <f>+Q25+0.45</f>
        <v>98.02479359730413</v>
      </c>
      <c r="Q25" s="116">
        <f>+R25+$P$77</f>
        <v>97.57479359730412</v>
      </c>
      <c r="R25" s="121">
        <f t="shared" si="7"/>
        <v>97.27479359730413</v>
      </c>
      <c r="S25" s="103">
        <f t="shared" si="3"/>
        <v>0.23315080033698388</v>
      </c>
      <c r="T25" s="143">
        <f t="shared" si="8"/>
        <v>0.015326032013479676</v>
      </c>
      <c r="W25" s="76">
        <f>I25-I24</f>
        <v>25</v>
      </c>
      <c r="AM25" s="171">
        <v>197.5</v>
      </c>
      <c r="AN25" s="111">
        <v>200</v>
      </c>
      <c r="AO25" s="111" t="s">
        <v>32</v>
      </c>
      <c r="AP25" s="172" t="s">
        <v>216</v>
      </c>
      <c r="AQ25" s="173">
        <v>100.29</v>
      </c>
      <c r="AR25" s="174">
        <v>97.57479359730412</v>
      </c>
      <c r="AS25" s="174"/>
      <c r="AT25" s="175">
        <f t="shared" si="5"/>
        <v>2.715206402695884</v>
      </c>
      <c r="AU25" s="173">
        <v>98.97479359730413</v>
      </c>
      <c r="AV25" s="171"/>
      <c r="AW25" s="193" t="s">
        <v>271</v>
      </c>
      <c r="AX25" s="186"/>
      <c r="AY25" s="186"/>
      <c r="AZ25" s="186"/>
      <c r="BA25" s="186"/>
      <c r="BB25" s="194"/>
    </row>
    <row r="26" spans="1:54" ht="12.75">
      <c r="A26" s="4"/>
      <c r="B26" s="4"/>
      <c r="C26" s="4">
        <f t="shared" si="1"/>
        <v>3288.54</v>
      </c>
      <c r="D26" s="29">
        <v>105</v>
      </c>
      <c r="E26" s="4">
        <v>6.18</v>
      </c>
      <c r="F26" t="s">
        <v>265</v>
      </c>
      <c r="G26" s="4">
        <f t="shared" si="0"/>
        <v>97.91999999999999</v>
      </c>
      <c r="H26" s="4"/>
      <c r="I26" s="29">
        <v>229</v>
      </c>
      <c r="J26" s="29" t="s">
        <v>173</v>
      </c>
      <c r="K26" s="133" t="s">
        <v>218</v>
      </c>
      <c r="L26" s="4">
        <v>3.83</v>
      </c>
      <c r="M26" s="4">
        <f t="shared" si="6"/>
        <v>100.36</v>
      </c>
      <c r="N26" s="99">
        <f t="shared" si="2"/>
        <v>1003.1037293343087</v>
      </c>
      <c r="O26" s="120">
        <f>+Q26+$O$79</f>
        <v>98.70433866891322</v>
      </c>
      <c r="P26" s="97">
        <f>+Q26+1.9</f>
        <v>97.70433866891322</v>
      </c>
      <c r="Q26" s="120">
        <f>+R26+$P$79</f>
        <v>95.80433866891322</v>
      </c>
      <c r="R26" s="121">
        <f t="shared" si="7"/>
        <v>97.00433866891322</v>
      </c>
      <c r="S26" s="103">
        <f t="shared" si="3"/>
        <v>0.2704549283909013</v>
      </c>
      <c r="T26" s="145">
        <f t="shared" si="8"/>
        <v>0.011050169944513853</v>
      </c>
      <c r="U26" s="19">
        <v>63</v>
      </c>
      <c r="X26">
        <v>109</v>
      </c>
      <c r="Y26">
        <v>14</v>
      </c>
      <c r="AM26" s="171"/>
      <c r="AN26" s="111">
        <v>229</v>
      </c>
      <c r="AO26" s="111" t="s">
        <v>173</v>
      </c>
      <c r="AP26" s="179" t="s">
        <v>218</v>
      </c>
      <c r="AQ26" s="173">
        <v>100.36</v>
      </c>
      <c r="AR26" s="180">
        <v>95.80433866891322</v>
      </c>
      <c r="AS26" s="180"/>
      <c r="AT26" s="175">
        <f t="shared" si="5"/>
        <v>4.555661331086782</v>
      </c>
      <c r="AU26" s="173">
        <v>98.70433866891322</v>
      </c>
      <c r="AV26" s="171"/>
      <c r="AW26" s="193"/>
      <c r="AX26" s="186"/>
      <c r="AY26" s="186"/>
      <c r="AZ26" s="186"/>
      <c r="BA26" s="186"/>
      <c r="BB26" s="194"/>
    </row>
    <row r="27" spans="1:54" ht="12.75">
      <c r="A27" s="4"/>
      <c r="B27" s="4"/>
      <c r="C27" s="4">
        <f t="shared" si="1"/>
        <v>3287.85</v>
      </c>
      <c r="D27" s="29">
        <v>109</v>
      </c>
      <c r="E27" s="4">
        <v>6.87</v>
      </c>
      <c r="F27" t="s">
        <v>266</v>
      </c>
      <c r="G27" s="4">
        <f t="shared" si="0"/>
        <v>97.22999999999999</v>
      </c>
      <c r="H27" s="4"/>
      <c r="I27" s="29">
        <v>250</v>
      </c>
      <c r="J27" s="29" t="s">
        <v>162</v>
      </c>
      <c r="K27" s="132" t="s">
        <v>217</v>
      </c>
      <c r="L27" s="4">
        <v>4.29</v>
      </c>
      <c r="M27" s="4">
        <f t="shared" si="6"/>
        <v>99.89999999999999</v>
      </c>
      <c r="N27" s="99">
        <f t="shared" si="2"/>
        <v>1002.9635196293588</v>
      </c>
      <c r="O27" s="121">
        <f>+Q27+$O$78</f>
        <v>98.50849199663016</v>
      </c>
      <c r="P27" s="115">
        <f>+Q27+0.9</f>
        <v>97.70849199663016</v>
      </c>
      <c r="Q27" s="121">
        <f>+R27+$P$78</f>
        <v>96.80849199663015</v>
      </c>
      <c r="R27" s="121">
        <f t="shared" si="7"/>
        <v>96.80849199663015</v>
      </c>
      <c r="S27" s="103">
        <f t="shared" si="3"/>
        <v>0.19584667228306646</v>
      </c>
      <c r="T27" s="146">
        <f t="shared" si="8"/>
        <v>-0.0001977775103302379</v>
      </c>
      <c r="V27" s="68">
        <f>I27-I25</f>
        <v>50</v>
      </c>
      <c r="AM27" s="171"/>
      <c r="AN27" s="111">
        <v>250</v>
      </c>
      <c r="AO27" s="111" t="s">
        <v>162</v>
      </c>
      <c r="AP27" s="177" t="s">
        <v>217</v>
      </c>
      <c r="AQ27" s="173">
        <v>99.9</v>
      </c>
      <c r="AR27" s="178">
        <v>96.80849199663015</v>
      </c>
      <c r="AS27" s="178"/>
      <c r="AT27" s="175">
        <f t="shared" si="5"/>
        <v>3.091508003369853</v>
      </c>
      <c r="AU27" s="173">
        <v>98.50849199663016</v>
      </c>
      <c r="AV27" s="171"/>
      <c r="AW27" s="196" t="s">
        <v>273</v>
      </c>
      <c r="AX27" s="186"/>
      <c r="AY27" s="186"/>
      <c r="AZ27" s="186"/>
      <c r="BA27" s="186"/>
      <c r="BB27" s="194"/>
    </row>
    <row r="28" spans="1:54" ht="12.75">
      <c r="A28" s="4"/>
      <c r="B28" s="4"/>
      <c r="C28" s="4">
        <f t="shared" si="1"/>
        <v>3287.5699999999997</v>
      </c>
      <c r="D28" s="29">
        <v>117</v>
      </c>
      <c r="E28" s="4">
        <v>7.15</v>
      </c>
      <c r="F28" t="s">
        <v>166</v>
      </c>
      <c r="G28" s="4">
        <f t="shared" si="0"/>
        <v>96.94999999999999</v>
      </c>
      <c r="H28" s="4"/>
      <c r="I28" s="29">
        <v>270</v>
      </c>
      <c r="K28" s="131" t="s">
        <v>216</v>
      </c>
      <c r="M28" s="66">
        <v>99.45</v>
      </c>
      <c r="N28" s="99">
        <f t="shared" si="2"/>
        <v>1002.8263579614728</v>
      </c>
      <c r="O28" s="116">
        <f>+Q28+$O$77</f>
        <v>98.32197135636056</v>
      </c>
      <c r="P28" s="96">
        <f>+Q28+0.45</f>
        <v>97.37197135636056</v>
      </c>
      <c r="Q28" s="116">
        <f>+R28+$P$77</f>
        <v>96.92197135636056</v>
      </c>
      <c r="R28" s="121">
        <f t="shared" si="7"/>
        <v>96.62197135636056</v>
      </c>
      <c r="S28" s="103">
        <f t="shared" si="3"/>
        <v>0.1865206402695871</v>
      </c>
      <c r="T28" s="143">
        <f t="shared" si="8"/>
        <v>0.016826032013479875</v>
      </c>
      <c r="AM28" s="171">
        <v>269.5</v>
      </c>
      <c r="AN28" s="111">
        <v>270</v>
      </c>
      <c r="AO28" s="111"/>
      <c r="AP28" s="172" t="s">
        <v>216</v>
      </c>
      <c r="AQ28" s="173">
        <v>99.45</v>
      </c>
      <c r="AR28" s="174">
        <v>96.92197135636056</v>
      </c>
      <c r="AS28" s="174"/>
      <c r="AT28" s="175">
        <f t="shared" si="5"/>
        <v>2.528028643639445</v>
      </c>
      <c r="AU28" s="173">
        <v>98.32197135636056</v>
      </c>
      <c r="AV28" s="171"/>
      <c r="AW28" s="193" t="s">
        <v>252</v>
      </c>
      <c r="AX28" s="186"/>
      <c r="AY28" s="186"/>
      <c r="AZ28" s="186" t="s">
        <v>270</v>
      </c>
      <c r="BA28" s="186"/>
      <c r="BB28" s="194"/>
    </row>
    <row r="29" spans="1:54" ht="12.75">
      <c r="A29" s="4"/>
      <c r="B29" s="4"/>
      <c r="C29" s="4">
        <f t="shared" si="1"/>
        <v>3288.2999999999997</v>
      </c>
      <c r="D29" s="29">
        <v>124</v>
      </c>
      <c r="E29" s="4">
        <v>6.42</v>
      </c>
      <c r="F29" t="s">
        <v>267</v>
      </c>
      <c r="G29" s="4">
        <f t="shared" si="0"/>
        <v>97.67999999999999</v>
      </c>
      <c r="H29" s="4"/>
      <c r="I29" s="29">
        <v>300</v>
      </c>
      <c r="J29" s="29" t="s">
        <v>174</v>
      </c>
      <c r="K29" s="132" t="s">
        <v>217</v>
      </c>
      <c r="L29" s="4">
        <v>4.99</v>
      </c>
      <c r="M29" s="4">
        <f t="shared" si="6"/>
        <v>99.2</v>
      </c>
      <c r="N29" s="99">
        <f t="shared" si="2"/>
        <v>1002.7501570348695</v>
      </c>
      <c r="O29" s="121">
        <f>+Q29+$O$78</f>
        <v>98.04219039595618</v>
      </c>
      <c r="P29" s="115">
        <f>+Q29+0.9</f>
        <v>97.24219039595619</v>
      </c>
      <c r="Q29" s="121">
        <f>+R29+$P$78</f>
        <v>96.34219039595618</v>
      </c>
      <c r="R29" s="121">
        <f t="shared" si="7"/>
        <v>96.34219039595618</v>
      </c>
      <c r="S29" s="103">
        <f aca="true" t="shared" si="9" ref="S29:S36">+(I29-I28)*$R$74</f>
        <v>0.2797809604043806</v>
      </c>
      <c r="T29" s="146">
        <f t="shared" si="8"/>
        <v>0.0043260320134791645</v>
      </c>
      <c r="AM29" s="171"/>
      <c r="AN29" s="111">
        <v>300</v>
      </c>
      <c r="AO29" s="111" t="s">
        <v>174</v>
      </c>
      <c r="AP29" s="177" t="s">
        <v>217</v>
      </c>
      <c r="AQ29" s="173">
        <v>99.2</v>
      </c>
      <c r="AR29" s="178">
        <v>96.34219039595618</v>
      </c>
      <c r="AS29" s="178"/>
      <c r="AT29" s="175">
        <f t="shared" si="5"/>
        <v>2.8578096040438226</v>
      </c>
      <c r="AU29" s="173">
        <v>98.04219039595618</v>
      </c>
      <c r="AV29" s="171"/>
      <c r="AW29" s="193" t="s">
        <v>269</v>
      </c>
      <c r="AX29" s="186"/>
      <c r="AY29" s="186"/>
      <c r="AZ29" s="186"/>
      <c r="BA29" s="186"/>
      <c r="BB29" s="194"/>
    </row>
    <row r="30" spans="1:54" ht="12.75">
      <c r="A30" s="4"/>
      <c r="B30" s="4"/>
      <c r="C30" s="4">
        <f t="shared" si="1"/>
        <v>3288.73</v>
      </c>
      <c r="D30" s="29">
        <v>132</v>
      </c>
      <c r="E30" s="4">
        <v>5.99</v>
      </c>
      <c r="F30" t="s">
        <v>162</v>
      </c>
      <c r="G30" s="4">
        <f t="shared" si="0"/>
        <v>98.11</v>
      </c>
      <c r="H30" s="4"/>
      <c r="I30" s="29">
        <v>310</v>
      </c>
      <c r="J30" s="29" t="s">
        <v>175</v>
      </c>
      <c r="K30" s="133" t="s">
        <v>218</v>
      </c>
      <c r="L30" s="4">
        <v>5</v>
      </c>
      <c r="M30" s="4">
        <f t="shared" si="6"/>
        <v>99.19</v>
      </c>
      <c r="N30" s="99">
        <f t="shared" si="2"/>
        <v>1002.7471089978054</v>
      </c>
      <c r="O30" s="120">
        <f>+Q30+$O$79</f>
        <v>97.9489300758214</v>
      </c>
      <c r="P30" s="97">
        <f>+Q30+1.9</f>
        <v>96.9489300758214</v>
      </c>
      <c r="Q30" s="120">
        <f>+R30+$P$79</f>
        <v>95.04893007582139</v>
      </c>
      <c r="R30" s="121">
        <f t="shared" si="7"/>
        <v>96.24893007582139</v>
      </c>
      <c r="S30" s="103">
        <f t="shared" si="9"/>
        <v>0.09326032013479355</v>
      </c>
      <c r="T30" s="146">
        <f t="shared" si="8"/>
        <v>0.029326032013479164</v>
      </c>
      <c r="U30" s="19">
        <v>81</v>
      </c>
      <c r="W30" s="76">
        <f>I30-I27</f>
        <v>60</v>
      </c>
      <c r="X30">
        <v>123</v>
      </c>
      <c r="Y30">
        <v>27</v>
      </c>
      <c r="AM30" s="171"/>
      <c r="AN30" s="111">
        <v>310</v>
      </c>
      <c r="AO30" s="111" t="s">
        <v>175</v>
      </c>
      <c r="AP30" s="179" t="s">
        <v>218</v>
      </c>
      <c r="AQ30" s="173">
        <v>99.19</v>
      </c>
      <c r="AR30" s="180">
        <v>95.04893007582139</v>
      </c>
      <c r="AS30" s="180"/>
      <c r="AT30" s="175">
        <f t="shared" si="5"/>
        <v>4.141069924178609</v>
      </c>
      <c r="AU30" s="173">
        <v>97.9489300758214</v>
      </c>
      <c r="AV30" s="171"/>
      <c r="AW30" s="193" t="s">
        <v>276</v>
      </c>
      <c r="AX30" s="186"/>
      <c r="AY30" s="186"/>
      <c r="AZ30" s="186"/>
      <c r="BA30" s="186"/>
      <c r="BB30" s="194"/>
    </row>
    <row r="31" spans="1:54" ht="12.75">
      <c r="A31" s="4">
        <v>103.95</v>
      </c>
      <c r="B31" s="4">
        <v>3.95</v>
      </c>
      <c r="C31" s="4">
        <f t="shared" si="1"/>
        <v>3288.7599999999998</v>
      </c>
      <c r="D31" s="29">
        <v>140</v>
      </c>
      <c r="E31" s="4">
        <v>5.96</v>
      </c>
      <c r="F31" t="s">
        <v>20</v>
      </c>
      <c r="G31" s="4">
        <f t="shared" si="0"/>
        <v>98.14</v>
      </c>
      <c r="H31" s="4"/>
      <c r="I31" s="29">
        <v>350</v>
      </c>
      <c r="J31" s="29" t="s">
        <v>32</v>
      </c>
      <c r="K31" s="131" t="s">
        <v>216</v>
      </c>
      <c r="L31" s="4">
        <v>4.92</v>
      </c>
      <c r="M31" s="4">
        <f>+$A$31-L31</f>
        <v>99.03</v>
      </c>
      <c r="N31" s="99">
        <f t="shared" si="2"/>
        <v>1002.6983404047794</v>
      </c>
      <c r="O31" s="116">
        <f>+Q31+$O$77</f>
        <v>97.57588879528222</v>
      </c>
      <c r="P31" s="96">
        <f>+Q31+0.45</f>
        <v>96.62588879528222</v>
      </c>
      <c r="Q31" s="116">
        <f>+R31+$P$77</f>
        <v>96.17588879528222</v>
      </c>
      <c r="R31" s="121">
        <f t="shared" si="7"/>
        <v>95.87588879528222</v>
      </c>
      <c r="S31" s="103">
        <f t="shared" si="9"/>
        <v>0.3730412805391742</v>
      </c>
      <c r="T31" s="146">
        <f t="shared" si="8"/>
        <v>0.008076032013479307</v>
      </c>
      <c r="V31" s="68">
        <f>I31-I30</f>
        <v>40</v>
      </c>
      <c r="AM31" s="171">
        <v>343</v>
      </c>
      <c r="AN31" s="111">
        <v>350</v>
      </c>
      <c r="AO31" s="111" t="s">
        <v>32</v>
      </c>
      <c r="AP31" s="172" t="s">
        <v>216</v>
      </c>
      <c r="AQ31" s="173">
        <v>99.03</v>
      </c>
      <c r="AR31" s="174">
        <v>96.17588879528222</v>
      </c>
      <c r="AS31" s="174"/>
      <c r="AT31" s="175">
        <f t="shared" si="5"/>
        <v>2.854111204717782</v>
      </c>
      <c r="AU31" s="173">
        <v>97.57588879528222</v>
      </c>
      <c r="AV31" s="171"/>
      <c r="AW31" s="193" t="s">
        <v>253</v>
      </c>
      <c r="AX31" s="186"/>
      <c r="AY31" s="186"/>
      <c r="AZ31" s="186"/>
      <c r="BA31" s="186"/>
      <c r="BB31" s="194"/>
    </row>
    <row r="32" spans="1:54" ht="12.75">
      <c r="A32" s="4"/>
      <c r="B32" s="4"/>
      <c r="C32" s="4">
        <f t="shared" si="1"/>
        <v>3288.37</v>
      </c>
      <c r="D32" s="29">
        <v>150</v>
      </c>
      <c r="E32" s="4">
        <v>6.35</v>
      </c>
      <c r="F32" t="s">
        <v>20</v>
      </c>
      <c r="G32" s="4">
        <f t="shared" si="0"/>
        <v>97.75</v>
      </c>
      <c r="H32" s="4"/>
      <c r="I32" s="29">
        <v>376</v>
      </c>
      <c r="J32" s="29" t="s">
        <v>176</v>
      </c>
      <c r="K32" s="133" t="s">
        <v>218</v>
      </c>
      <c r="L32" s="4">
        <v>5.49</v>
      </c>
      <c r="M32" s="4">
        <f>+$A$31-L32</f>
        <v>98.46000000000001</v>
      </c>
      <c r="N32" s="99">
        <f t="shared" si="2"/>
        <v>1002.5246022921239</v>
      </c>
      <c r="O32" s="120">
        <f>+Q32+$O$79</f>
        <v>97.33341196293176</v>
      </c>
      <c r="P32" s="97">
        <f>+Q32+1.9</f>
        <v>96.33341196293176</v>
      </c>
      <c r="Q32" s="120">
        <f>+R32+$P$79</f>
        <v>94.43341196293176</v>
      </c>
      <c r="R32" s="121">
        <f t="shared" si="7"/>
        <v>95.63341196293176</v>
      </c>
      <c r="S32" s="103">
        <f t="shared" si="9"/>
        <v>0.24247683235046322</v>
      </c>
      <c r="T32" s="145">
        <f t="shared" si="8"/>
        <v>0.01124910893655613</v>
      </c>
      <c r="U32" s="19">
        <v>66</v>
      </c>
      <c r="W32" s="76">
        <f>I32-I31</f>
        <v>26</v>
      </c>
      <c r="X32">
        <v>108</v>
      </c>
      <c r="Y32">
        <v>14</v>
      </c>
      <c r="AM32" s="171"/>
      <c r="AN32" s="111">
        <v>376</v>
      </c>
      <c r="AO32" s="111" t="s">
        <v>176</v>
      </c>
      <c r="AP32" s="179" t="s">
        <v>218</v>
      </c>
      <c r="AQ32" s="173">
        <v>98.46</v>
      </c>
      <c r="AR32" s="180">
        <v>94.43341196293176</v>
      </c>
      <c r="AS32" s="180"/>
      <c r="AT32" s="175">
        <f t="shared" si="5"/>
        <v>4.026588037068237</v>
      </c>
      <c r="AU32" s="173">
        <v>97.33341196293176</v>
      </c>
      <c r="AV32" s="171"/>
      <c r="AW32" s="193"/>
      <c r="AX32" s="186"/>
      <c r="AY32" s="186"/>
      <c r="AZ32" s="186"/>
      <c r="BA32" s="186"/>
      <c r="BB32" s="194"/>
    </row>
    <row r="33" spans="1:54" ht="12.75">
      <c r="A33" s="4"/>
      <c r="B33" s="4"/>
      <c r="C33" s="4">
        <f t="shared" si="1"/>
        <v>3288.37</v>
      </c>
      <c r="D33" s="29">
        <v>154</v>
      </c>
      <c r="E33" s="4">
        <v>6.35</v>
      </c>
      <c r="F33" t="s">
        <v>262</v>
      </c>
      <c r="G33" s="4">
        <f t="shared" si="0"/>
        <v>97.75</v>
      </c>
      <c r="H33" s="4"/>
      <c r="I33" s="29">
        <v>400</v>
      </c>
      <c r="J33" s="29" t="s">
        <v>162</v>
      </c>
      <c r="K33" s="131" t="s">
        <v>216</v>
      </c>
      <c r="L33" s="4">
        <v>6.05</v>
      </c>
      <c r="M33" s="4">
        <f aca="true" t="shared" si="10" ref="M33:M62">+$A$31-L33</f>
        <v>97.9</v>
      </c>
      <c r="N33" s="99">
        <f t="shared" si="2"/>
        <v>1002.3539122165325</v>
      </c>
      <c r="O33" s="116">
        <f>+Q33+$O$77</f>
        <v>97.10958719460825</v>
      </c>
      <c r="P33" s="96">
        <f>+Q33+0.45</f>
        <v>96.15958719460825</v>
      </c>
      <c r="Q33" s="116">
        <f>+R33+$P$77</f>
        <v>95.70958719460825</v>
      </c>
      <c r="R33" s="121">
        <f t="shared" si="7"/>
        <v>95.40958719460825</v>
      </c>
      <c r="S33" s="103">
        <f t="shared" si="9"/>
        <v>0.2238247683235045</v>
      </c>
      <c r="T33" s="146">
        <f t="shared" si="8"/>
        <v>0.0072426986801463755</v>
      </c>
      <c r="V33" s="68">
        <f>I33-I32</f>
        <v>24</v>
      </c>
      <c r="AM33" s="171"/>
      <c r="AN33" s="111">
        <v>400</v>
      </c>
      <c r="AO33" s="111" t="s">
        <v>162</v>
      </c>
      <c r="AP33" s="172" t="s">
        <v>216</v>
      </c>
      <c r="AQ33" s="173">
        <v>97.9</v>
      </c>
      <c r="AR33" s="174">
        <v>95.70958719460825</v>
      </c>
      <c r="AS33" s="174"/>
      <c r="AT33" s="175">
        <f t="shared" si="5"/>
        <v>2.190412805391759</v>
      </c>
      <c r="AU33" s="173">
        <v>97.10958719460825</v>
      </c>
      <c r="AV33" s="171"/>
      <c r="AW33" s="196" t="s">
        <v>275</v>
      </c>
      <c r="AX33" s="186"/>
      <c r="AY33" s="186"/>
      <c r="AZ33" s="186"/>
      <c r="BA33" s="186"/>
      <c r="BB33" s="194"/>
    </row>
    <row r="34" spans="1:54" ht="12.75">
      <c r="A34" s="4"/>
      <c r="B34" s="4"/>
      <c r="C34" s="4">
        <f t="shared" si="1"/>
        <v>3287.43</v>
      </c>
      <c r="D34" s="29">
        <v>160</v>
      </c>
      <c r="E34" s="4">
        <v>7.29</v>
      </c>
      <c r="F34" t="s">
        <v>266</v>
      </c>
      <c r="G34" s="4">
        <f t="shared" si="0"/>
        <v>96.80999999999999</v>
      </c>
      <c r="H34" s="4"/>
      <c r="I34" s="29">
        <v>425</v>
      </c>
      <c r="J34" s="29" t="s">
        <v>177</v>
      </c>
      <c r="K34" s="132" t="s">
        <v>217</v>
      </c>
      <c r="L34" s="4">
        <v>6.49</v>
      </c>
      <c r="M34" s="4">
        <f t="shared" si="10"/>
        <v>97.46000000000001</v>
      </c>
      <c r="N34" s="99">
        <f t="shared" si="2"/>
        <v>1002.2197985857108</v>
      </c>
      <c r="O34" s="121">
        <f>+Q34+$O$78</f>
        <v>96.87643639427127</v>
      </c>
      <c r="P34" s="115">
        <f>+Q34+0.9</f>
        <v>96.07643639427127</v>
      </c>
      <c r="Q34" s="121">
        <f>+R34+$P$78</f>
        <v>95.17643639427126</v>
      </c>
      <c r="R34" s="121">
        <f t="shared" si="7"/>
        <v>95.17643639427126</v>
      </c>
      <c r="S34" s="103">
        <f t="shared" si="9"/>
        <v>0.23315080033698388</v>
      </c>
      <c r="T34" s="146">
        <f t="shared" si="8"/>
        <v>0.003326032013479221</v>
      </c>
      <c r="W34" s="76">
        <f>I34-I33</f>
        <v>25</v>
      </c>
      <c r="AM34" s="171">
        <v>410.5</v>
      </c>
      <c r="AN34" s="111">
        <v>425</v>
      </c>
      <c r="AO34" s="111" t="s">
        <v>177</v>
      </c>
      <c r="AP34" s="177" t="s">
        <v>217</v>
      </c>
      <c r="AQ34" s="173">
        <v>97.46</v>
      </c>
      <c r="AR34" s="178">
        <v>95.17643639427126</v>
      </c>
      <c r="AS34" s="178"/>
      <c r="AT34" s="175">
        <f t="shared" si="5"/>
        <v>2.2835636057287303</v>
      </c>
      <c r="AU34" s="173">
        <v>96.87643639427127</v>
      </c>
      <c r="AV34" s="171"/>
      <c r="AW34" s="193" t="s">
        <v>277</v>
      </c>
      <c r="AX34" s="186"/>
      <c r="AY34" s="186" t="s">
        <v>278</v>
      </c>
      <c r="AZ34" s="186"/>
      <c r="BA34" s="186" t="s">
        <v>279</v>
      </c>
      <c r="BB34" s="194"/>
    </row>
    <row r="35" spans="1:54" ht="12.75">
      <c r="A35" s="4"/>
      <c r="B35" s="4"/>
      <c r="C35" s="4">
        <f t="shared" si="1"/>
        <v>3287.0899999999997</v>
      </c>
      <c r="D35" s="29">
        <v>171</v>
      </c>
      <c r="E35" s="4">
        <v>7.63</v>
      </c>
      <c r="F35" t="s">
        <v>171</v>
      </c>
      <c r="G35" s="4">
        <f t="shared" si="0"/>
        <v>96.47</v>
      </c>
      <c r="H35" s="4"/>
      <c r="I35" s="29">
        <v>445</v>
      </c>
      <c r="J35" s="29" t="s">
        <v>178</v>
      </c>
      <c r="K35" s="133" t="s">
        <v>218</v>
      </c>
      <c r="L35" s="4">
        <v>6.84</v>
      </c>
      <c r="M35" s="4">
        <f t="shared" si="10"/>
        <v>97.11</v>
      </c>
      <c r="N35" s="99">
        <f t="shared" si="2"/>
        <v>1002.1131172884662</v>
      </c>
      <c r="O35" s="120">
        <f>+Q35+$O$79</f>
        <v>96.68991575400167</v>
      </c>
      <c r="P35" s="97">
        <f>+Q35+1.9</f>
        <v>95.68991575400167</v>
      </c>
      <c r="Q35" s="120">
        <f>+R35+$P$79</f>
        <v>93.78991575400167</v>
      </c>
      <c r="R35" s="121">
        <f t="shared" si="7"/>
        <v>94.98991575400167</v>
      </c>
      <c r="S35" s="103">
        <f t="shared" si="9"/>
        <v>0.1865206402695871</v>
      </c>
      <c r="T35" s="145">
        <f t="shared" si="8"/>
        <v>0.01932603201347973</v>
      </c>
      <c r="U35" s="19">
        <v>69</v>
      </c>
      <c r="X35">
        <v>128</v>
      </c>
      <c r="Y35">
        <v>17</v>
      </c>
      <c r="AM35" s="171"/>
      <c r="AN35" s="111">
        <v>445</v>
      </c>
      <c r="AO35" s="111" t="s">
        <v>178</v>
      </c>
      <c r="AP35" s="179" t="s">
        <v>218</v>
      </c>
      <c r="AQ35" s="173">
        <v>97.11</v>
      </c>
      <c r="AR35" s="180">
        <v>93.78991575400167</v>
      </c>
      <c r="AS35" s="180"/>
      <c r="AT35" s="175">
        <f t="shared" si="5"/>
        <v>3.3200842459983306</v>
      </c>
      <c r="AU35" s="173">
        <v>96.68991575400167</v>
      </c>
      <c r="AV35" s="171"/>
      <c r="AW35" s="193" t="s">
        <v>280</v>
      </c>
      <c r="AX35" s="186"/>
      <c r="AY35" s="186" t="s">
        <v>254</v>
      </c>
      <c r="AZ35" s="186"/>
      <c r="BA35" s="186"/>
      <c r="BB35" s="194"/>
    </row>
    <row r="36" spans="1:54" ht="12.75">
      <c r="A36" s="4"/>
      <c r="B36" s="4"/>
      <c r="C36" s="4">
        <f t="shared" si="1"/>
        <v>3287.17</v>
      </c>
      <c r="D36" s="29">
        <v>176</v>
      </c>
      <c r="E36" s="4">
        <v>7.55</v>
      </c>
      <c r="F36" t="s">
        <v>267</v>
      </c>
      <c r="G36" s="4">
        <f t="shared" si="0"/>
        <v>96.55</v>
      </c>
      <c r="H36" s="4"/>
      <c r="I36" s="29">
        <v>460</v>
      </c>
      <c r="K36" s="132" t="s">
        <v>217</v>
      </c>
      <c r="M36" s="66">
        <v>97.16</v>
      </c>
      <c r="N36" s="99">
        <f t="shared" si="2"/>
        <v>1002.1283574737869</v>
      </c>
      <c r="O36" s="121">
        <f>+Q36+$O$78</f>
        <v>96.55002527379948</v>
      </c>
      <c r="P36" s="104">
        <f>+Q36+0.9</f>
        <v>95.75002527379948</v>
      </c>
      <c r="Q36" s="121">
        <f>+R36+$P$78</f>
        <v>94.85002527379947</v>
      </c>
      <c r="R36" s="121">
        <f t="shared" si="7"/>
        <v>94.85002527379947</v>
      </c>
      <c r="S36" s="103">
        <f t="shared" si="9"/>
        <v>0.1398904802021903</v>
      </c>
      <c r="T36" s="144">
        <f t="shared" si="8"/>
        <v>-0.004007301319853695</v>
      </c>
      <c r="AM36" s="171"/>
      <c r="AN36" s="111">
        <v>460</v>
      </c>
      <c r="AO36" s="111"/>
      <c r="AP36" s="177" t="s">
        <v>217</v>
      </c>
      <c r="AQ36" s="182">
        <f>+M36</f>
        <v>97.16</v>
      </c>
      <c r="AR36" s="178">
        <f>+R36</f>
        <v>94.85002527379947</v>
      </c>
      <c r="AS36" s="178"/>
      <c r="AT36" s="175">
        <f t="shared" si="5"/>
        <v>2.3099747262005224</v>
      </c>
      <c r="AU36" s="173">
        <f>+O36</f>
        <v>96.55002527379948</v>
      </c>
      <c r="AV36" s="171"/>
      <c r="AW36" s="193" t="s">
        <v>256</v>
      </c>
      <c r="AX36" s="186"/>
      <c r="AY36" s="186" t="s">
        <v>255</v>
      </c>
      <c r="AZ36" s="186"/>
      <c r="BA36" s="186"/>
      <c r="BB36" s="194"/>
    </row>
    <row r="37" spans="1:54" ht="12.75">
      <c r="A37" s="4"/>
      <c r="B37" s="4"/>
      <c r="C37" s="4">
        <f t="shared" si="1"/>
        <v>3287.98</v>
      </c>
      <c r="D37" s="29">
        <v>188</v>
      </c>
      <c r="E37" s="4">
        <v>6.74</v>
      </c>
      <c r="F37" t="s">
        <v>162</v>
      </c>
      <c r="G37" s="4">
        <f t="shared" si="0"/>
        <v>97.36</v>
      </c>
      <c r="H37" s="4"/>
      <c r="I37" s="29">
        <v>475</v>
      </c>
      <c r="J37" s="29" t="s">
        <v>162</v>
      </c>
      <c r="K37" s="131" t="s">
        <v>216</v>
      </c>
      <c r="L37" s="4">
        <v>6.74</v>
      </c>
      <c r="M37" s="4">
        <f t="shared" si="10"/>
        <v>97.21000000000001</v>
      </c>
      <c r="N37" s="99">
        <f t="shared" si="2"/>
        <v>1002.1435976591075</v>
      </c>
      <c r="O37" s="116">
        <f>+Q37+$O$77</f>
        <v>96.4101347935973</v>
      </c>
      <c r="P37" s="96">
        <f>+Q37+0.45</f>
        <v>95.46013479359729</v>
      </c>
      <c r="Q37" s="116">
        <f>+R37+$P$77</f>
        <v>95.01013479359729</v>
      </c>
      <c r="R37" s="121">
        <f t="shared" si="7"/>
        <v>94.71013479359729</v>
      </c>
      <c r="S37" s="103">
        <f aca="true" t="shared" si="11" ref="S37:S72">+(I37-I36)*$R$74</f>
        <v>0.1398904802021903</v>
      </c>
      <c r="T37" s="146">
        <f>+(P35-P37)/(I37-I35)</f>
        <v>0.007659365346812782</v>
      </c>
      <c r="V37" s="68">
        <f>I37-I34</f>
        <v>50</v>
      </c>
      <c r="AM37" s="171"/>
      <c r="AN37" s="111">
        <v>475</v>
      </c>
      <c r="AO37" s="111" t="s">
        <v>162</v>
      </c>
      <c r="AP37" s="172" t="s">
        <v>216</v>
      </c>
      <c r="AQ37" s="173">
        <v>97.21</v>
      </c>
      <c r="AR37" s="174">
        <v>95.01013479359729</v>
      </c>
      <c r="AS37" s="174"/>
      <c r="AT37" s="175">
        <f t="shared" si="5"/>
        <v>2.1998652064027056</v>
      </c>
      <c r="AU37" s="173">
        <v>96.4101347935973</v>
      </c>
      <c r="AV37" s="171"/>
      <c r="AW37" s="193" t="s">
        <v>257</v>
      </c>
      <c r="AX37" s="186"/>
      <c r="AY37" s="186"/>
      <c r="AZ37" s="186" t="s">
        <v>281</v>
      </c>
      <c r="BA37" s="186"/>
      <c r="BB37" s="194"/>
    </row>
    <row r="38" spans="1:54" ht="12.75">
      <c r="A38" s="4"/>
      <c r="B38" s="4"/>
      <c r="C38" s="4">
        <f t="shared" si="1"/>
        <v>3288.0499999999997</v>
      </c>
      <c r="D38" s="29">
        <v>195</v>
      </c>
      <c r="E38" s="4">
        <v>6.67</v>
      </c>
      <c r="F38" t="s">
        <v>20</v>
      </c>
      <c r="G38" s="4">
        <f t="shared" si="0"/>
        <v>97.42999999999999</v>
      </c>
      <c r="H38" s="4"/>
      <c r="I38" s="29">
        <v>500</v>
      </c>
      <c r="J38" s="29" t="s">
        <v>177</v>
      </c>
      <c r="K38" s="132" t="s">
        <v>217</v>
      </c>
      <c r="L38" s="4">
        <v>7.02</v>
      </c>
      <c r="M38" s="4">
        <f t="shared" si="10"/>
        <v>96.93</v>
      </c>
      <c r="N38" s="99">
        <f t="shared" si="2"/>
        <v>1002.0582526213119</v>
      </c>
      <c r="O38" s="121">
        <f>+Q38+$O$78</f>
        <v>96.17698399326031</v>
      </c>
      <c r="P38" s="115">
        <f>+Q38+0.9</f>
        <v>95.37698399326031</v>
      </c>
      <c r="Q38" s="121">
        <f>+R38+$P$78</f>
        <v>94.4769839932603</v>
      </c>
      <c r="R38" s="121">
        <f t="shared" si="7"/>
        <v>94.4769839932603</v>
      </c>
      <c r="S38" s="103">
        <f t="shared" si="11"/>
        <v>0.23315080033698388</v>
      </c>
      <c r="T38" s="146">
        <f t="shared" si="8"/>
        <v>0.003326032013479221</v>
      </c>
      <c r="W38" s="76">
        <f>I38-I37</f>
        <v>25</v>
      </c>
      <c r="AM38" s="171">
        <v>488</v>
      </c>
      <c r="AN38" s="111">
        <v>500</v>
      </c>
      <c r="AO38" s="111" t="s">
        <v>177</v>
      </c>
      <c r="AP38" s="177" t="s">
        <v>217</v>
      </c>
      <c r="AQ38" s="173">
        <v>96.93</v>
      </c>
      <c r="AR38" s="178">
        <v>94.4769839932603</v>
      </c>
      <c r="AS38" s="178"/>
      <c r="AT38" s="175">
        <f t="shared" si="5"/>
        <v>2.453016006739702</v>
      </c>
      <c r="AU38" s="173">
        <v>96.17698399326031</v>
      </c>
      <c r="AV38" s="171"/>
      <c r="AW38" s="193" t="s">
        <v>284</v>
      </c>
      <c r="AX38" s="186"/>
      <c r="AY38" s="186"/>
      <c r="AZ38" s="186"/>
      <c r="BA38" s="186"/>
      <c r="BB38" s="194"/>
    </row>
    <row r="39" spans="1:54" ht="12.75">
      <c r="A39" s="4"/>
      <c r="B39" s="4"/>
      <c r="C39" s="4">
        <f t="shared" si="1"/>
        <v>3288.14</v>
      </c>
      <c r="D39" s="29">
        <v>205</v>
      </c>
      <c r="E39" s="4">
        <v>6.58</v>
      </c>
      <c r="F39" t="s">
        <v>20</v>
      </c>
      <c r="G39" s="4">
        <f t="shared" si="0"/>
        <v>97.52</v>
      </c>
      <c r="H39" s="4"/>
      <c r="I39" s="29">
        <v>531</v>
      </c>
      <c r="J39" s="29" t="s">
        <v>179</v>
      </c>
      <c r="K39" s="133" t="s">
        <v>218</v>
      </c>
      <c r="L39" s="4">
        <v>7.06</v>
      </c>
      <c r="M39" s="4">
        <f t="shared" si="10"/>
        <v>96.89</v>
      </c>
      <c r="N39" s="99">
        <f t="shared" si="2"/>
        <v>1002.0460604730554</v>
      </c>
      <c r="O39" s="120">
        <f>+Q39+$O$79</f>
        <v>95.88787700084245</v>
      </c>
      <c r="P39" s="97">
        <f>+Q39+1.9</f>
        <v>94.88787700084245</v>
      </c>
      <c r="Q39" s="120">
        <f>+R39+$P$79</f>
        <v>92.98787700084245</v>
      </c>
      <c r="R39" s="121">
        <f t="shared" si="7"/>
        <v>94.18787700084245</v>
      </c>
      <c r="S39" s="103">
        <f t="shared" si="11"/>
        <v>0.28910699241786</v>
      </c>
      <c r="T39" s="146">
        <f t="shared" si="8"/>
        <v>0.015777644916705146</v>
      </c>
      <c r="U39" s="19">
        <v>86</v>
      </c>
      <c r="X39">
        <v>97</v>
      </c>
      <c r="Y39">
        <v>23</v>
      </c>
      <c r="AM39" s="171"/>
      <c r="AN39" s="111">
        <v>531</v>
      </c>
      <c r="AO39" s="111" t="s">
        <v>179</v>
      </c>
      <c r="AP39" s="179" t="s">
        <v>218</v>
      </c>
      <c r="AQ39" s="173">
        <v>96.89</v>
      </c>
      <c r="AR39" s="180">
        <v>92.98787700084245</v>
      </c>
      <c r="AS39" s="180"/>
      <c r="AT39" s="175">
        <f t="shared" si="5"/>
        <v>3.9021229991575552</v>
      </c>
      <c r="AU39" s="173">
        <v>95.88787700084245</v>
      </c>
      <c r="AV39" s="171"/>
      <c r="AW39" s="193" t="s">
        <v>285</v>
      </c>
      <c r="AX39" s="186"/>
      <c r="AY39" s="186"/>
      <c r="AZ39" s="186"/>
      <c r="BA39" s="186"/>
      <c r="BB39" s="194"/>
    </row>
    <row r="40" spans="1:54" ht="12.75">
      <c r="A40" s="4"/>
      <c r="B40" s="4"/>
      <c r="C40" s="4">
        <f t="shared" si="1"/>
        <v>3288.18</v>
      </c>
      <c r="D40" s="29">
        <v>215</v>
      </c>
      <c r="E40" s="4">
        <v>6.54</v>
      </c>
      <c r="F40" t="s">
        <v>20</v>
      </c>
      <c r="G40" s="4">
        <f t="shared" si="0"/>
        <v>97.55999999999999</v>
      </c>
      <c r="H40" s="4"/>
      <c r="I40" s="29">
        <v>550</v>
      </c>
      <c r="J40" s="29" t="s">
        <v>199</v>
      </c>
      <c r="K40" s="132" t="s">
        <v>217</v>
      </c>
      <c r="L40" s="4">
        <v>7.44</v>
      </c>
      <c r="M40" s="4">
        <f t="shared" si="10"/>
        <v>96.51</v>
      </c>
      <c r="N40" s="99">
        <f t="shared" si="2"/>
        <v>1001.9302350646184</v>
      </c>
      <c r="O40" s="121">
        <f>+Q40+$O$78</f>
        <v>95.71068239258635</v>
      </c>
      <c r="P40" s="115">
        <f>+Q40+0.9</f>
        <v>94.91068239258635</v>
      </c>
      <c r="Q40" s="121">
        <f>+R40+$P$78</f>
        <v>94.01068239258635</v>
      </c>
      <c r="R40" s="121">
        <f t="shared" si="7"/>
        <v>94.01068239258635</v>
      </c>
      <c r="S40" s="103">
        <f t="shared" si="11"/>
        <v>0.17719460825610772</v>
      </c>
      <c r="T40" s="146">
        <f t="shared" si="8"/>
        <v>-0.0012002837759948043</v>
      </c>
      <c r="V40" s="68">
        <f>I40-I38</f>
        <v>50</v>
      </c>
      <c r="AM40" s="171"/>
      <c r="AN40" s="111">
        <v>550</v>
      </c>
      <c r="AO40" s="111" t="s">
        <v>199</v>
      </c>
      <c r="AP40" s="177" t="s">
        <v>217</v>
      </c>
      <c r="AQ40" s="173">
        <v>96.51</v>
      </c>
      <c r="AR40" s="178">
        <v>94.01068239258635</v>
      </c>
      <c r="AS40" s="178"/>
      <c r="AT40" s="175">
        <f t="shared" si="5"/>
        <v>2.4993176074136585</v>
      </c>
      <c r="AU40" s="173">
        <v>95.71068239258635</v>
      </c>
      <c r="AV40" s="171"/>
      <c r="AW40" s="193"/>
      <c r="AX40" s="186"/>
      <c r="AY40" s="186"/>
      <c r="AZ40" s="186"/>
      <c r="BA40" s="186"/>
      <c r="BB40" s="194"/>
    </row>
    <row r="41" spans="1:54" ht="12.75">
      <c r="A41" s="4"/>
      <c r="B41" s="4"/>
      <c r="C41" s="4">
        <f t="shared" si="1"/>
        <v>3287.91</v>
      </c>
      <c r="D41" s="29">
        <v>221</v>
      </c>
      <c r="E41" s="4">
        <v>6.81</v>
      </c>
      <c r="F41" t="s">
        <v>262</v>
      </c>
      <c r="G41" s="4">
        <f t="shared" si="0"/>
        <v>97.28999999999999</v>
      </c>
      <c r="H41" s="4"/>
      <c r="I41" s="29">
        <v>575</v>
      </c>
      <c r="J41" s="29" t="s">
        <v>32</v>
      </c>
      <c r="K41" s="131" t="s">
        <v>216</v>
      </c>
      <c r="L41" s="4">
        <v>7.92</v>
      </c>
      <c r="M41" s="4">
        <f t="shared" si="10"/>
        <v>96.03</v>
      </c>
      <c r="N41" s="99">
        <f t="shared" si="2"/>
        <v>1001.7839292855401</v>
      </c>
      <c r="O41" s="116">
        <f>+Q41+$O$77</f>
        <v>95.47753159224936</v>
      </c>
      <c r="P41" s="96">
        <f>+Q41+0.55</f>
        <v>94.62753159224935</v>
      </c>
      <c r="Q41" s="116">
        <f>+R41+$P$77</f>
        <v>94.07753159224936</v>
      </c>
      <c r="R41" s="121">
        <f t="shared" si="7"/>
        <v>93.77753159224936</v>
      </c>
      <c r="S41" s="103">
        <f t="shared" si="11"/>
        <v>0.23315080033698388</v>
      </c>
      <c r="T41" s="146">
        <f t="shared" si="8"/>
        <v>0.011326032013479903</v>
      </c>
      <c r="AM41" s="171"/>
      <c r="AN41" s="111">
        <v>575</v>
      </c>
      <c r="AO41" s="111" t="s">
        <v>32</v>
      </c>
      <c r="AP41" s="172" t="s">
        <v>216</v>
      </c>
      <c r="AQ41" s="173">
        <v>96.03</v>
      </c>
      <c r="AR41" s="174">
        <v>94.07753159224936</v>
      </c>
      <c r="AS41" s="174"/>
      <c r="AT41" s="175">
        <f t="shared" si="5"/>
        <v>1.9524684077506436</v>
      </c>
      <c r="AU41" s="173">
        <v>95.47753159224936</v>
      </c>
      <c r="AV41" s="171"/>
      <c r="AW41" s="196" t="s">
        <v>286</v>
      </c>
      <c r="AX41" s="186"/>
      <c r="AY41" s="186"/>
      <c r="AZ41" s="186"/>
      <c r="BA41" s="186"/>
      <c r="BB41" s="194"/>
    </row>
    <row r="42" spans="1:54" ht="12.75">
      <c r="A42" s="4"/>
      <c r="B42" s="4"/>
      <c r="C42" s="4">
        <f t="shared" si="1"/>
        <v>3287.7599999999998</v>
      </c>
      <c r="D42" s="29">
        <v>226</v>
      </c>
      <c r="E42" s="4">
        <v>6.96</v>
      </c>
      <c r="F42" t="s">
        <v>263</v>
      </c>
      <c r="G42" s="4">
        <f t="shared" si="0"/>
        <v>97.14</v>
      </c>
      <c r="H42" s="4"/>
      <c r="I42" s="29">
        <v>600</v>
      </c>
      <c r="J42" s="29" t="s">
        <v>177</v>
      </c>
      <c r="K42" s="131" t="s">
        <v>216</v>
      </c>
      <c r="L42" s="4">
        <v>8.11</v>
      </c>
      <c r="M42" s="4">
        <f t="shared" si="10"/>
        <v>95.84</v>
      </c>
      <c r="N42" s="99">
        <f t="shared" si="2"/>
        <v>1001.7260165813217</v>
      </c>
      <c r="O42" s="116">
        <f>+Q42+$O$77</f>
        <v>95.24438079191238</v>
      </c>
      <c r="P42" s="96">
        <f>+Q42+0.45</f>
        <v>94.29438079191237</v>
      </c>
      <c r="Q42" s="116">
        <f>+R42+$P$77</f>
        <v>93.84438079191237</v>
      </c>
      <c r="R42" s="121">
        <f t="shared" si="7"/>
        <v>93.54438079191237</v>
      </c>
      <c r="S42" s="103">
        <f t="shared" si="11"/>
        <v>0.23315080033698388</v>
      </c>
      <c r="T42" s="146">
        <f t="shared" si="8"/>
        <v>0.013326032013479221</v>
      </c>
      <c r="AM42" s="171">
        <v>585</v>
      </c>
      <c r="AN42" s="111">
        <v>600</v>
      </c>
      <c r="AO42" s="111" t="s">
        <v>177</v>
      </c>
      <c r="AP42" s="172" t="s">
        <v>216</v>
      </c>
      <c r="AQ42" s="173">
        <v>95.84</v>
      </c>
      <c r="AR42" s="174">
        <v>93.84438079191237</v>
      </c>
      <c r="AS42" s="174"/>
      <c r="AT42" s="175">
        <f t="shared" si="5"/>
        <v>1.995619208087632</v>
      </c>
      <c r="AU42" s="173">
        <v>95.24438079191238</v>
      </c>
      <c r="AV42" s="171"/>
      <c r="AW42" s="168" t="s">
        <v>287</v>
      </c>
      <c r="AX42" s="62"/>
      <c r="AY42" s="62"/>
      <c r="AZ42" s="62"/>
      <c r="BA42" s="62"/>
      <c r="BB42" s="200"/>
    </row>
    <row r="43" spans="1:48" ht="12.75">
      <c r="A43" s="4"/>
      <c r="B43" s="4"/>
      <c r="C43" s="4">
        <f t="shared" si="1"/>
        <v>3286.8199999999997</v>
      </c>
      <c r="D43" s="29">
        <v>230</v>
      </c>
      <c r="E43" s="4">
        <v>7.9</v>
      </c>
      <c r="F43" t="s">
        <v>266</v>
      </c>
      <c r="G43" s="4">
        <f t="shared" si="0"/>
        <v>96.19999999999999</v>
      </c>
      <c r="H43" s="4"/>
      <c r="I43" s="29">
        <v>625</v>
      </c>
      <c r="J43" s="29" t="s">
        <v>180</v>
      </c>
      <c r="K43" s="132" t="s">
        <v>217</v>
      </c>
      <c r="L43" s="4">
        <v>8.73</v>
      </c>
      <c r="M43" s="4">
        <f t="shared" si="10"/>
        <v>95.22</v>
      </c>
      <c r="N43" s="99">
        <f t="shared" si="2"/>
        <v>1001.5370382833455</v>
      </c>
      <c r="O43" s="121">
        <f>+Q43+$O$78</f>
        <v>95.01122999157539</v>
      </c>
      <c r="P43" s="115">
        <f>+Q43+0.9</f>
        <v>94.2112299915754</v>
      </c>
      <c r="Q43" s="121">
        <f>+R43+$P$78</f>
        <v>93.31122999157539</v>
      </c>
      <c r="R43" s="121">
        <f t="shared" si="7"/>
        <v>93.31122999157539</v>
      </c>
      <c r="S43" s="103">
        <f t="shared" si="11"/>
        <v>0.23315080033698388</v>
      </c>
      <c r="T43" s="146">
        <f t="shared" si="8"/>
        <v>0.003326032013479221</v>
      </c>
      <c r="W43" s="76">
        <f>I43-I40</f>
        <v>75</v>
      </c>
      <c r="AM43" s="171"/>
      <c r="AN43" s="111">
        <v>625</v>
      </c>
      <c r="AO43" s="111" t="s">
        <v>180</v>
      </c>
      <c r="AP43" s="177" t="s">
        <v>217</v>
      </c>
      <c r="AQ43" s="173">
        <v>95.22</v>
      </c>
      <c r="AR43" s="178">
        <v>93.31122999157539</v>
      </c>
      <c r="AS43" s="178"/>
      <c r="AT43" s="175">
        <f t="shared" si="5"/>
        <v>1.9087700084246109</v>
      </c>
      <c r="AU43" s="173">
        <v>95.01122999157539</v>
      </c>
      <c r="AV43" s="171"/>
    </row>
    <row r="44" spans="1:48" ht="12.75">
      <c r="A44" s="4"/>
      <c r="B44" s="4"/>
      <c r="C44" s="4">
        <f t="shared" si="1"/>
        <v>3286.52</v>
      </c>
      <c r="D44" s="29">
        <v>237</v>
      </c>
      <c r="E44" s="4">
        <v>8.2</v>
      </c>
      <c r="F44" t="s">
        <v>173</v>
      </c>
      <c r="G44" s="4">
        <f aca="true" t="shared" si="12" ref="G44:G75">+$A$11-E44</f>
        <v>95.89999999999999</v>
      </c>
      <c r="H44" s="4"/>
      <c r="I44" s="29">
        <v>639</v>
      </c>
      <c r="J44" s="29" t="s">
        <v>181</v>
      </c>
      <c r="K44" s="133" t="s">
        <v>218</v>
      </c>
      <c r="L44" s="4">
        <v>8.38</v>
      </c>
      <c r="M44" s="4">
        <f t="shared" si="10"/>
        <v>95.57000000000001</v>
      </c>
      <c r="N44" s="99">
        <f t="shared" si="2"/>
        <v>1001.6437195805902</v>
      </c>
      <c r="O44" s="120">
        <f>+Q44+$O$79</f>
        <v>94.88066554338668</v>
      </c>
      <c r="P44" s="97">
        <f>+Q44+1.9</f>
        <v>93.88066554338668</v>
      </c>
      <c r="Q44" s="120">
        <f>+R44+$P$79</f>
        <v>91.98066554338668</v>
      </c>
      <c r="R44" s="121">
        <f t="shared" si="7"/>
        <v>93.18066554338668</v>
      </c>
      <c r="S44" s="103">
        <f t="shared" si="11"/>
        <v>0.13056444818871096</v>
      </c>
      <c r="T44" s="146">
        <f t="shared" si="8"/>
        <v>0.023611746299193572</v>
      </c>
      <c r="U44" s="19">
        <v>108</v>
      </c>
      <c r="X44">
        <v>121</v>
      </c>
      <c r="Y44">
        <v>20</v>
      </c>
      <c r="AM44" s="171"/>
      <c r="AN44" s="111">
        <v>639</v>
      </c>
      <c r="AO44" s="111" t="s">
        <v>181</v>
      </c>
      <c r="AP44" s="179" t="s">
        <v>218</v>
      </c>
      <c r="AQ44" s="173">
        <v>95.57</v>
      </c>
      <c r="AR44" s="180">
        <v>91.98066554338668</v>
      </c>
      <c r="AS44" s="180"/>
      <c r="AT44" s="175">
        <f t="shared" si="5"/>
        <v>3.589334456613315</v>
      </c>
      <c r="AU44" s="173">
        <v>94.88066554338668</v>
      </c>
      <c r="AV44" s="171"/>
    </row>
    <row r="45" spans="1:48" ht="12.75">
      <c r="A45" s="4"/>
      <c r="B45" s="4"/>
      <c r="C45" s="4">
        <f t="shared" si="1"/>
        <v>3286.87</v>
      </c>
      <c r="D45" s="29">
        <v>244</v>
      </c>
      <c r="E45" s="4">
        <v>7.85</v>
      </c>
      <c r="F45" t="s">
        <v>267</v>
      </c>
      <c r="G45" s="4">
        <f t="shared" si="12"/>
        <v>96.25</v>
      </c>
      <c r="H45" s="4"/>
      <c r="I45" s="29">
        <v>650</v>
      </c>
      <c r="J45" s="29" t="s">
        <v>162</v>
      </c>
      <c r="K45" s="132" t="s">
        <v>217</v>
      </c>
      <c r="L45" s="4">
        <v>8.85</v>
      </c>
      <c r="M45" s="4">
        <f t="shared" si="10"/>
        <v>95.10000000000001</v>
      </c>
      <c r="N45" s="99">
        <f t="shared" si="2"/>
        <v>1001.500461838576</v>
      </c>
      <c r="O45" s="121">
        <f>+Q45+$O$78</f>
        <v>94.7780791912384</v>
      </c>
      <c r="P45" s="115">
        <f>+Q45+0.9</f>
        <v>93.97807919123841</v>
      </c>
      <c r="Q45" s="121">
        <f>+R45+$P$78</f>
        <v>93.0780791912384</v>
      </c>
      <c r="R45" s="121">
        <f t="shared" si="7"/>
        <v>93.0780791912384</v>
      </c>
      <c r="S45" s="103">
        <f t="shared" si="11"/>
        <v>0.1025863521482729</v>
      </c>
      <c r="T45" s="146">
        <f t="shared" si="8"/>
        <v>-0.008855786168338526</v>
      </c>
      <c r="V45" s="68">
        <f>I45-I43</f>
        <v>25</v>
      </c>
      <c r="AM45" s="171"/>
      <c r="AN45" s="111">
        <v>650</v>
      </c>
      <c r="AO45" s="111" t="s">
        <v>162</v>
      </c>
      <c r="AP45" s="177" t="s">
        <v>217</v>
      </c>
      <c r="AQ45" s="173">
        <v>95.1</v>
      </c>
      <c r="AR45" s="178">
        <v>93.0780791912384</v>
      </c>
      <c r="AS45" s="178"/>
      <c r="AT45" s="175">
        <f t="shared" si="5"/>
        <v>2.0219208087615925</v>
      </c>
      <c r="AU45" s="173">
        <v>94.7780791912384</v>
      </c>
      <c r="AV45" s="171"/>
    </row>
    <row r="46" spans="1:48" ht="12.75">
      <c r="A46" s="4"/>
      <c r="B46" s="4"/>
      <c r="C46" s="4">
        <f t="shared" si="1"/>
        <v>3287.4</v>
      </c>
      <c r="D46" s="29">
        <v>250</v>
      </c>
      <c r="E46" s="4">
        <v>7.32</v>
      </c>
      <c r="F46" t="s">
        <v>227</v>
      </c>
      <c r="G46" s="4">
        <f t="shared" si="12"/>
        <v>96.78</v>
      </c>
      <c r="H46" s="4"/>
      <c r="I46" s="29">
        <v>675</v>
      </c>
      <c r="J46" s="29" t="s">
        <v>182</v>
      </c>
      <c r="K46" s="131" t="s">
        <v>216</v>
      </c>
      <c r="L46" s="4">
        <v>9.01</v>
      </c>
      <c r="M46" s="4">
        <f t="shared" si="10"/>
        <v>94.94</v>
      </c>
      <c r="N46" s="99">
        <f t="shared" si="2"/>
        <v>1001.4516932455499</v>
      </c>
      <c r="O46" s="116">
        <f>+Q46+$O$77</f>
        <v>94.54492839090142</v>
      </c>
      <c r="P46" s="96">
        <f>+Q46+0.45</f>
        <v>93.59492839090142</v>
      </c>
      <c r="Q46" s="116">
        <f>+R46+$P$77</f>
        <v>93.14492839090141</v>
      </c>
      <c r="R46" s="121">
        <f t="shared" si="7"/>
        <v>92.84492839090142</v>
      </c>
      <c r="S46" s="103">
        <f t="shared" si="11"/>
        <v>0.23315080033698388</v>
      </c>
      <c r="T46" s="146">
        <f t="shared" si="8"/>
        <v>0.015326032013479676</v>
      </c>
      <c r="W46" s="76">
        <f>I46-I45</f>
        <v>25</v>
      </c>
      <c r="AM46" s="171">
        <v>661</v>
      </c>
      <c r="AN46" s="111">
        <v>675</v>
      </c>
      <c r="AO46" s="111" t="s">
        <v>182</v>
      </c>
      <c r="AP46" s="172" t="s">
        <v>216</v>
      </c>
      <c r="AQ46" s="173">
        <v>94.94</v>
      </c>
      <c r="AR46" s="174">
        <v>93.14492839090141</v>
      </c>
      <c r="AS46" s="174"/>
      <c r="AT46" s="175">
        <f t="shared" si="5"/>
        <v>1.795071609098585</v>
      </c>
      <c r="AU46" s="173">
        <v>94.54492839090142</v>
      </c>
      <c r="AV46" s="171"/>
    </row>
    <row r="47" spans="1:48" ht="12.75">
      <c r="A47" s="4"/>
      <c r="B47" s="4"/>
      <c r="C47" s="4">
        <f t="shared" si="1"/>
        <v>3287.6</v>
      </c>
      <c r="D47" s="29">
        <v>260</v>
      </c>
      <c r="E47" s="4">
        <v>7.12</v>
      </c>
      <c r="F47" t="s">
        <v>162</v>
      </c>
      <c r="G47" s="4">
        <f t="shared" si="12"/>
        <v>96.97999999999999</v>
      </c>
      <c r="H47" s="4"/>
      <c r="I47" s="29">
        <v>683</v>
      </c>
      <c r="J47" s="29" t="s">
        <v>183</v>
      </c>
      <c r="K47" s="133" t="s">
        <v>218</v>
      </c>
      <c r="L47" s="4">
        <v>9.13</v>
      </c>
      <c r="M47" s="4">
        <f t="shared" si="10"/>
        <v>94.82000000000001</v>
      </c>
      <c r="N47" s="99">
        <f t="shared" si="2"/>
        <v>1001.4151168007803</v>
      </c>
      <c r="O47" s="120">
        <f>+Q47+$O$79</f>
        <v>94.47032013479358</v>
      </c>
      <c r="P47" s="97">
        <f>+Q47+1.9</f>
        <v>93.47032013479358</v>
      </c>
      <c r="Q47" s="120">
        <f>+R47+$P$79</f>
        <v>91.57032013479358</v>
      </c>
      <c r="R47" s="121">
        <f t="shared" si="7"/>
        <v>92.77032013479358</v>
      </c>
      <c r="S47" s="103">
        <f t="shared" si="11"/>
        <v>0.07460825610783484</v>
      </c>
      <c r="T47" s="146">
        <f t="shared" si="8"/>
        <v>0.015576032013479235</v>
      </c>
      <c r="U47" s="19">
        <v>44</v>
      </c>
      <c r="X47">
        <v>119</v>
      </c>
      <c r="Y47">
        <v>22</v>
      </c>
      <c r="AM47" s="171"/>
      <c r="AN47" s="111">
        <v>683</v>
      </c>
      <c r="AO47" s="111" t="s">
        <v>183</v>
      </c>
      <c r="AP47" s="179" t="s">
        <v>218</v>
      </c>
      <c r="AQ47" s="173">
        <v>94.82</v>
      </c>
      <c r="AR47" s="180">
        <v>91.57032013479358</v>
      </c>
      <c r="AS47" s="180"/>
      <c r="AT47" s="175">
        <f t="shared" si="5"/>
        <v>3.249679865206417</v>
      </c>
      <c r="AU47" s="173">
        <v>94.47032013479358</v>
      </c>
      <c r="AV47" s="171"/>
    </row>
    <row r="48" spans="1:48" ht="12.75">
      <c r="A48" s="4"/>
      <c r="B48" s="4"/>
      <c r="C48" s="4">
        <f t="shared" si="1"/>
        <v>3287.66</v>
      </c>
      <c r="D48" s="29">
        <v>270</v>
      </c>
      <c r="E48" s="4">
        <v>7.06</v>
      </c>
      <c r="F48" t="s">
        <v>20</v>
      </c>
      <c r="G48" s="4">
        <f t="shared" si="12"/>
        <v>97.03999999999999</v>
      </c>
      <c r="H48" s="4"/>
      <c r="I48" s="29">
        <v>700</v>
      </c>
      <c r="J48" s="29" t="s">
        <v>184</v>
      </c>
      <c r="K48" s="132" t="s">
        <v>217</v>
      </c>
      <c r="L48" s="4">
        <v>9.41</v>
      </c>
      <c r="M48" s="4">
        <f t="shared" si="10"/>
        <v>94.54</v>
      </c>
      <c r="N48" s="99">
        <f t="shared" si="2"/>
        <v>1001.3297717629847</v>
      </c>
      <c r="O48" s="121">
        <f>+Q48+$O$78</f>
        <v>94.31177759056443</v>
      </c>
      <c r="P48" s="115">
        <f>+Q48+0.9</f>
        <v>93.51177759056444</v>
      </c>
      <c r="Q48" s="121">
        <f>+R48+$P$78</f>
        <v>92.61177759056443</v>
      </c>
      <c r="R48" s="121">
        <f t="shared" si="7"/>
        <v>92.61177759056443</v>
      </c>
      <c r="S48" s="103">
        <f t="shared" si="11"/>
        <v>0.15854254422914904</v>
      </c>
      <c r="T48" s="146">
        <f t="shared" si="8"/>
        <v>-0.002438673868873727</v>
      </c>
      <c r="AM48" s="171"/>
      <c r="AN48" s="111">
        <v>700</v>
      </c>
      <c r="AO48" s="111" t="s">
        <v>184</v>
      </c>
      <c r="AP48" s="177" t="s">
        <v>217</v>
      </c>
      <c r="AQ48" s="173">
        <v>94.54</v>
      </c>
      <c r="AR48" s="178">
        <v>92.61177759056443</v>
      </c>
      <c r="AS48" s="178"/>
      <c r="AT48" s="175">
        <f t="shared" si="5"/>
        <v>1.9282224094355769</v>
      </c>
      <c r="AU48" s="173">
        <v>94.31177759056443</v>
      </c>
      <c r="AV48" s="171"/>
    </row>
    <row r="49" spans="1:48" ht="12.75">
      <c r="A49" s="4"/>
      <c r="B49" s="4"/>
      <c r="C49" s="4">
        <f t="shared" si="1"/>
        <v>3287.33</v>
      </c>
      <c r="D49" s="29">
        <v>280</v>
      </c>
      <c r="E49" s="4">
        <v>7.39</v>
      </c>
      <c r="F49" t="s">
        <v>20</v>
      </c>
      <c r="G49" s="4">
        <f t="shared" si="12"/>
        <v>96.71</v>
      </c>
      <c r="H49" s="4"/>
      <c r="I49" s="29">
        <v>725</v>
      </c>
      <c r="J49" s="29" t="s">
        <v>32</v>
      </c>
      <c r="K49" s="131" t="s">
        <v>216</v>
      </c>
      <c r="L49" s="4">
        <v>9.76</v>
      </c>
      <c r="M49" s="4">
        <f t="shared" si="10"/>
        <v>94.19</v>
      </c>
      <c r="N49" s="99">
        <f t="shared" si="2"/>
        <v>1001.2230904657401</v>
      </c>
      <c r="O49" s="116">
        <f>+Q49+$O$77</f>
        <v>94.07862679022745</v>
      </c>
      <c r="P49" s="96">
        <f>+Q49+0.45</f>
        <v>93.12862679022744</v>
      </c>
      <c r="Q49" s="116">
        <f>+R49+$P$77</f>
        <v>92.67862679022744</v>
      </c>
      <c r="R49" s="121">
        <f t="shared" si="7"/>
        <v>92.37862679022744</v>
      </c>
      <c r="S49" s="103">
        <f t="shared" si="11"/>
        <v>0.23315080033698388</v>
      </c>
      <c r="T49" s="146">
        <f t="shared" si="8"/>
        <v>0.015326032013479676</v>
      </c>
      <c r="AM49" s="171">
        <v>722</v>
      </c>
      <c r="AN49" s="111">
        <v>725</v>
      </c>
      <c r="AO49" s="111" t="s">
        <v>32</v>
      </c>
      <c r="AP49" s="172" t="s">
        <v>216</v>
      </c>
      <c r="AQ49" s="173">
        <v>94.19</v>
      </c>
      <c r="AR49" s="174">
        <v>92.67862679022744</v>
      </c>
      <c r="AS49" s="174"/>
      <c r="AT49" s="175">
        <f t="shared" si="5"/>
        <v>1.5113732097725574</v>
      </c>
      <c r="AU49" s="173">
        <v>94.07862679022745</v>
      </c>
      <c r="AV49" s="171"/>
    </row>
    <row r="50" spans="1:48" ht="12.75">
      <c r="A50" s="4"/>
      <c r="B50" s="4"/>
      <c r="C50" s="4">
        <f t="shared" si="1"/>
        <v>3287.3599999999997</v>
      </c>
      <c r="D50" s="29">
        <v>290</v>
      </c>
      <c r="E50" s="4">
        <v>7.36</v>
      </c>
      <c r="F50" t="s">
        <v>20</v>
      </c>
      <c r="G50" s="4">
        <f t="shared" si="12"/>
        <v>96.74</v>
      </c>
      <c r="H50" s="4"/>
      <c r="I50" s="29">
        <v>750</v>
      </c>
      <c r="J50" s="29" t="s">
        <v>185</v>
      </c>
      <c r="K50" s="132" t="s">
        <v>217</v>
      </c>
      <c r="L50" s="4">
        <v>10.55</v>
      </c>
      <c r="M50" s="4">
        <f t="shared" si="10"/>
        <v>93.4</v>
      </c>
      <c r="N50" s="99">
        <f t="shared" si="2"/>
        <v>1000.9822955376737</v>
      </c>
      <c r="O50" s="121">
        <f>+Q50+$O$78</f>
        <v>93.84547598989046</v>
      </c>
      <c r="P50" s="115">
        <f>+Q50+0.9</f>
        <v>93.04547598989046</v>
      </c>
      <c r="Q50" s="121">
        <f>+R50+$P$78</f>
        <v>92.14547598989046</v>
      </c>
      <c r="R50" s="121">
        <f t="shared" si="7"/>
        <v>92.14547598989046</v>
      </c>
      <c r="S50" s="103">
        <f t="shared" si="11"/>
        <v>0.23315080033698388</v>
      </c>
      <c r="T50" s="146">
        <f t="shared" si="8"/>
        <v>0.003326032013479221</v>
      </c>
      <c r="V50" s="68">
        <f>I50-I46</f>
        <v>75</v>
      </c>
      <c r="AM50" s="171"/>
      <c r="AN50" s="111">
        <v>750</v>
      </c>
      <c r="AO50" s="111" t="s">
        <v>185</v>
      </c>
      <c r="AP50" s="177" t="s">
        <v>217</v>
      </c>
      <c r="AQ50" s="173">
        <v>93.4</v>
      </c>
      <c r="AR50" s="178">
        <v>92.14547598989046</v>
      </c>
      <c r="AS50" s="178"/>
      <c r="AT50" s="175">
        <f t="shared" si="5"/>
        <v>1.2545240101095487</v>
      </c>
      <c r="AU50" s="173">
        <v>93.84547598989046</v>
      </c>
      <c r="AV50" s="171"/>
    </row>
    <row r="51" spans="1:48" ht="12.75">
      <c r="A51" s="4"/>
      <c r="B51" s="4"/>
      <c r="C51" s="4">
        <f t="shared" si="1"/>
        <v>3287.1</v>
      </c>
      <c r="D51" s="29">
        <v>300</v>
      </c>
      <c r="E51" s="4">
        <v>7.62</v>
      </c>
      <c r="F51" t="s">
        <v>262</v>
      </c>
      <c r="G51" s="4">
        <f t="shared" si="12"/>
        <v>96.47999999999999</v>
      </c>
      <c r="H51" s="4"/>
      <c r="I51" s="29">
        <v>761</v>
      </c>
      <c r="J51" s="29" t="s">
        <v>228</v>
      </c>
      <c r="K51" s="133" t="s">
        <v>218</v>
      </c>
      <c r="L51" s="4">
        <v>10.42</v>
      </c>
      <c r="M51" s="4">
        <f t="shared" si="10"/>
        <v>93.53</v>
      </c>
      <c r="N51" s="99">
        <f t="shared" si="2"/>
        <v>1001.0219200195074</v>
      </c>
      <c r="O51" s="120">
        <f>+Q51+$O$79</f>
        <v>93.74288963774218</v>
      </c>
      <c r="P51" s="97">
        <f>+Q51+1.9</f>
        <v>92.74288963774218</v>
      </c>
      <c r="Q51" s="120">
        <f>+R51+$P$79</f>
        <v>90.84288963774218</v>
      </c>
      <c r="R51" s="121">
        <f t="shared" si="7"/>
        <v>92.04288963774218</v>
      </c>
      <c r="S51" s="103">
        <f t="shared" si="11"/>
        <v>0.1025863521482729</v>
      </c>
      <c r="T51" s="146">
        <f t="shared" si="8"/>
        <v>0.027507850195298354</v>
      </c>
      <c r="U51" s="19">
        <v>78</v>
      </c>
      <c r="X51">
        <v>106</v>
      </c>
      <c r="Y51">
        <v>30</v>
      </c>
      <c r="AM51" s="171"/>
      <c r="AN51" s="111">
        <v>761</v>
      </c>
      <c r="AO51" s="111" t="s">
        <v>228</v>
      </c>
      <c r="AP51" s="179" t="s">
        <v>218</v>
      </c>
      <c r="AQ51" s="173">
        <v>93.53</v>
      </c>
      <c r="AR51" s="180">
        <v>90.84288963774218</v>
      </c>
      <c r="AS51" s="180"/>
      <c r="AT51" s="175">
        <f t="shared" si="5"/>
        <v>2.687110362257826</v>
      </c>
      <c r="AU51" s="173">
        <v>93.74288963774218</v>
      </c>
      <c r="AV51" s="171"/>
    </row>
    <row r="52" spans="1:48" ht="12.75">
      <c r="A52" s="4"/>
      <c r="B52" s="4"/>
      <c r="C52" s="4">
        <f t="shared" si="1"/>
        <v>3286.7999999999997</v>
      </c>
      <c r="D52" s="29">
        <v>308</v>
      </c>
      <c r="E52" s="4">
        <v>7.92</v>
      </c>
      <c r="F52" t="s">
        <v>263</v>
      </c>
      <c r="G52" s="4">
        <f t="shared" si="12"/>
        <v>96.17999999999999</v>
      </c>
      <c r="H52" s="4"/>
      <c r="I52" s="29">
        <v>775</v>
      </c>
      <c r="J52" s="29" t="s">
        <v>186</v>
      </c>
      <c r="K52" s="132" t="s">
        <v>217</v>
      </c>
      <c r="L52" s="4">
        <v>10.42</v>
      </c>
      <c r="M52" s="4">
        <f t="shared" si="10"/>
        <v>93.53</v>
      </c>
      <c r="N52" s="99">
        <f t="shared" si="2"/>
        <v>1001.0219200195074</v>
      </c>
      <c r="O52" s="121">
        <f>+Q52+$O$78</f>
        <v>93.61232518955347</v>
      </c>
      <c r="P52" s="115">
        <f>+Q52+0.9</f>
        <v>92.81232518955348</v>
      </c>
      <c r="Q52" s="121">
        <f>+R52+$P$78</f>
        <v>91.91232518955347</v>
      </c>
      <c r="R52" s="121">
        <f t="shared" si="7"/>
        <v>91.91232518955347</v>
      </c>
      <c r="S52" s="103">
        <f t="shared" si="11"/>
        <v>0.13056444818871096</v>
      </c>
      <c r="T52" s="146">
        <f t="shared" si="8"/>
        <v>-0.004959682272235406</v>
      </c>
      <c r="AM52" s="171"/>
      <c r="AN52" s="111">
        <v>775</v>
      </c>
      <c r="AO52" s="111" t="s">
        <v>186</v>
      </c>
      <c r="AP52" s="177" t="s">
        <v>217</v>
      </c>
      <c r="AQ52" s="173">
        <v>93.53</v>
      </c>
      <c r="AR52" s="178">
        <v>91.91232518955347</v>
      </c>
      <c r="AS52" s="178"/>
      <c r="AT52" s="175">
        <f t="shared" si="5"/>
        <v>1.6176748104465304</v>
      </c>
      <c r="AU52" s="173">
        <v>93.61232518955347</v>
      </c>
      <c r="AV52" s="171"/>
    </row>
    <row r="53" spans="1:48" ht="12.75">
      <c r="A53" s="4"/>
      <c r="B53" s="4"/>
      <c r="C53" s="4">
        <f t="shared" si="1"/>
        <v>3286.0299999999997</v>
      </c>
      <c r="D53" s="29">
        <v>314</v>
      </c>
      <c r="E53" s="4">
        <v>8.69</v>
      </c>
      <c r="F53" t="s">
        <v>266</v>
      </c>
      <c r="G53" s="4">
        <f t="shared" si="12"/>
        <v>95.41</v>
      </c>
      <c r="H53" s="4"/>
      <c r="I53" s="29">
        <v>800</v>
      </c>
      <c r="J53" s="29" t="s">
        <v>187</v>
      </c>
      <c r="K53" s="131" t="s">
        <v>216</v>
      </c>
      <c r="L53" s="4">
        <v>10.53</v>
      </c>
      <c r="M53" s="4">
        <f t="shared" si="10"/>
        <v>93.42</v>
      </c>
      <c r="N53" s="99">
        <f t="shared" si="2"/>
        <v>1000.9883916118021</v>
      </c>
      <c r="O53" s="116">
        <f>+Q53+$O$77</f>
        <v>93.37917438921649</v>
      </c>
      <c r="P53" s="96">
        <f>+Q53+0.45</f>
        <v>92.42917438921648</v>
      </c>
      <c r="Q53" s="116">
        <f>+R53+$P$77</f>
        <v>91.97917438921648</v>
      </c>
      <c r="R53" s="121">
        <f t="shared" si="7"/>
        <v>91.67917438921648</v>
      </c>
      <c r="S53" s="103">
        <f t="shared" si="11"/>
        <v>0.23315080033698388</v>
      </c>
      <c r="T53" s="146">
        <f t="shared" si="8"/>
        <v>0.015326032013479676</v>
      </c>
      <c r="W53" s="76">
        <f>I53-I50</f>
        <v>50</v>
      </c>
      <c r="AM53" s="171">
        <v>798</v>
      </c>
      <c r="AN53" s="111">
        <v>800</v>
      </c>
      <c r="AO53" s="111" t="s">
        <v>187</v>
      </c>
      <c r="AP53" s="172" t="s">
        <v>216</v>
      </c>
      <c r="AQ53" s="173">
        <v>93.42</v>
      </c>
      <c r="AR53" s="174">
        <v>91.97917438921648</v>
      </c>
      <c r="AS53" s="174"/>
      <c r="AT53" s="175">
        <f t="shared" si="5"/>
        <v>1.44082561078352</v>
      </c>
      <c r="AU53" s="173">
        <v>93.37917438921649</v>
      </c>
      <c r="AV53" s="171"/>
    </row>
    <row r="54" spans="1:48" ht="12.75">
      <c r="A54" s="4"/>
      <c r="B54" s="4"/>
      <c r="C54" s="4">
        <f t="shared" si="1"/>
        <v>3285.74</v>
      </c>
      <c r="D54" s="29">
        <v>318</v>
      </c>
      <c r="E54" s="4">
        <v>8.98</v>
      </c>
      <c r="F54" t="s">
        <v>175</v>
      </c>
      <c r="G54" s="4">
        <f t="shared" si="12"/>
        <v>95.11999999999999</v>
      </c>
      <c r="H54" s="4"/>
      <c r="I54" s="29">
        <v>825</v>
      </c>
      <c r="J54" s="29" t="s">
        <v>188</v>
      </c>
      <c r="K54" s="132" t="s">
        <v>217</v>
      </c>
      <c r="L54" s="4">
        <v>10.54</v>
      </c>
      <c r="M54" s="4">
        <f t="shared" si="10"/>
        <v>93.41</v>
      </c>
      <c r="N54" s="99">
        <f t="shared" si="2"/>
        <v>1000.9853435747378</v>
      </c>
      <c r="O54" s="121">
        <f>+Q54+$O$78</f>
        <v>93.1460235888795</v>
      </c>
      <c r="P54" s="115">
        <f>+Q54+0.9</f>
        <v>92.3460235888795</v>
      </c>
      <c r="Q54" s="121">
        <f>+R54+$P$78</f>
        <v>91.4460235888795</v>
      </c>
      <c r="R54" s="121">
        <f t="shared" si="7"/>
        <v>91.4460235888795</v>
      </c>
      <c r="S54" s="103">
        <f t="shared" si="11"/>
        <v>0.23315080033698388</v>
      </c>
      <c r="T54" s="146">
        <f t="shared" si="8"/>
        <v>0.003326032013479221</v>
      </c>
      <c r="AM54" s="171"/>
      <c r="AN54" s="111">
        <v>825</v>
      </c>
      <c r="AO54" s="111" t="s">
        <v>188</v>
      </c>
      <c r="AP54" s="177" t="s">
        <v>217</v>
      </c>
      <c r="AQ54" s="173">
        <v>93.41</v>
      </c>
      <c r="AR54" s="178">
        <v>91.4460235888795</v>
      </c>
      <c r="AS54" s="178"/>
      <c r="AT54" s="175">
        <f t="shared" si="5"/>
        <v>1.9639764111204983</v>
      </c>
      <c r="AU54" s="173">
        <v>93.1460235888795</v>
      </c>
      <c r="AV54" s="171"/>
    </row>
    <row r="55" spans="1:48" ht="12.75">
      <c r="A55" s="4"/>
      <c r="B55" s="4"/>
      <c r="C55" s="4">
        <f t="shared" si="1"/>
        <v>3286.0899999999997</v>
      </c>
      <c r="D55" s="29">
        <v>324</v>
      </c>
      <c r="E55" s="4">
        <v>8.63</v>
      </c>
      <c r="F55" t="s">
        <v>267</v>
      </c>
      <c r="G55" s="4">
        <f t="shared" si="12"/>
        <v>95.47</v>
      </c>
      <c r="H55" s="4"/>
      <c r="I55" s="29">
        <v>835</v>
      </c>
      <c r="J55" s="29" t="s">
        <v>189</v>
      </c>
      <c r="K55" s="133" t="s">
        <v>218</v>
      </c>
      <c r="L55" s="4">
        <v>10.5</v>
      </c>
      <c r="M55" s="4">
        <f t="shared" si="10"/>
        <v>93.45</v>
      </c>
      <c r="N55" s="99">
        <f t="shared" si="2"/>
        <v>1000.9975357229944</v>
      </c>
      <c r="O55" s="120">
        <f>+Q55+$O$79</f>
        <v>93.05276326874471</v>
      </c>
      <c r="P55" s="97">
        <f>+Q55+1.9</f>
        <v>92.05276326874471</v>
      </c>
      <c r="Q55" s="120">
        <f>+R55+$P$79</f>
        <v>90.1527632687447</v>
      </c>
      <c r="R55" s="121">
        <f t="shared" si="7"/>
        <v>91.35276326874471</v>
      </c>
      <c r="S55" s="103">
        <f t="shared" si="11"/>
        <v>0.09326032013479355</v>
      </c>
      <c r="T55" s="146">
        <f t="shared" si="8"/>
        <v>0.029326032013479164</v>
      </c>
      <c r="U55" s="19">
        <v>74</v>
      </c>
      <c r="X55">
        <v>87</v>
      </c>
      <c r="Y55">
        <v>14</v>
      </c>
      <c r="AM55" s="171"/>
      <c r="AN55" s="111">
        <v>835</v>
      </c>
      <c r="AO55" s="111" t="s">
        <v>189</v>
      </c>
      <c r="AP55" s="179" t="s">
        <v>218</v>
      </c>
      <c r="AQ55" s="173">
        <v>93.45</v>
      </c>
      <c r="AR55" s="180">
        <v>90.1527632687447</v>
      </c>
      <c r="AS55" s="180"/>
      <c r="AT55" s="175">
        <f t="shared" si="5"/>
        <v>3.297236731255296</v>
      </c>
      <c r="AU55" s="173">
        <v>93.05276326874471</v>
      </c>
      <c r="AV55" s="171"/>
    </row>
    <row r="56" spans="1:48" ht="12.75">
      <c r="A56" s="4"/>
      <c r="B56" s="4"/>
      <c r="C56" s="4">
        <f t="shared" si="1"/>
        <v>3286.73</v>
      </c>
      <c r="D56" s="29">
        <v>329</v>
      </c>
      <c r="E56" s="4">
        <v>7.99</v>
      </c>
      <c r="F56" t="s">
        <v>227</v>
      </c>
      <c r="G56" s="4">
        <f t="shared" si="12"/>
        <v>96.11</v>
      </c>
      <c r="H56" s="4"/>
      <c r="I56" s="29">
        <v>850</v>
      </c>
      <c r="J56" s="29" t="s">
        <v>190</v>
      </c>
      <c r="K56" s="132" t="s">
        <v>217</v>
      </c>
      <c r="L56" s="4">
        <v>10.83</v>
      </c>
      <c r="M56" s="4">
        <f t="shared" si="10"/>
        <v>93.12</v>
      </c>
      <c r="N56" s="99">
        <f t="shared" si="2"/>
        <v>1000.8969504998781</v>
      </c>
      <c r="O56" s="121">
        <f>+Q56+$O$78</f>
        <v>92.91287278854251</v>
      </c>
      <c r="P56" s="115">
        <f>+Q56+0.9</f>
        <v>92.11287278854252</v>
      </c>
      <c r="Q56" s="121">
        <f>+R56+$P$78</f>
        <v>91.21287278854251</v>
      </c>
      <c r="R56" s="121">
        <f t="shared" si="7"/>
        <v>91.21287278854251</v>
      </c>
      <c r="S56" s="103">
        <f t="shared" si="11"/>
        <v>0.1398904802021903</v>
      </c>
      <c r="T56" s="146">
        <f t="shared" si="8"/>
        <v>-0.004007301319853695</v>
      </c>
      <c r="V56" s="68">
        <f>I56-I53</f>
        <v>50</v>
      </c>
      <c r="AM56" s="171">
        <v>855</v>
      </c>
      <c r="AN56" s="111">
        <v>850</v>
      </c>
      <c r="AO56" s="111" t="s">
        <v>190</v>
      </c>
      <c r="AP56" s="177" t="s">
        <v>217</v>
      </c>
      <c r="AQ56" s="173">
        <v>93.12</v>
      </c>
      <c r="AR56" s="178">
        <v>91.21287278854251</v>
      </c>
      <c r="AS56" s="178"/>
      <c r="AT56" s="175">
        <f t="shared" si="5"/>
        <v>1.9071272114574924</v>
      </c>
      <c r="AU56" s="173">
        <v>92.91287278854251</v>
      </c>
      <c r="AV56" s="171"/>
    </row>
    <row r="57" spans="1:48" ht="12.75">
      <c r="A57" s="4"/>
      <c r="B57" s="4"/>
      <c r="C57" s="4">
        <f t="shared" si="1"/>
        <v>3286.89</v>
      </c>
      <c r="D57" s="29">
        <v>335</v>
      </c>
      <c r="E57" s="4">
        <v>7.83</v>
      </c>
      <c r="F57" t="s">
        <v>162</v>
      </c>
      <c r="G57" s="4">
        <f t="shared" si="12"/>
        <v>96.27</v>
      </c>
      <c r="H57" s="4"/>
      <c r="I57" s="29">
        <v>875</v>
      </c>
      <c r="J57" s="29" t="s">
        <v>191</v>
      </c>
      <c r="K57" s="133" t="s">
        <v>218</v>
      </c>
      <c r="L57" s="4">
        <v>10.78</v>
      </c>
      <c r="M57" s="4">
        <f t="shared" si="10"/>
        <v>93.17</v>
      </c>
      <c r="N57" s="99">
        <f t="shared" si="2"/>
        <v>1000.9121906851988</v>
      </c>
      <c r="O57" s="120">
        <f>+Q57+$O$79</f>
        <v>92.67972198820553</v>
      </c>
      <c r="P57" s="97">
        <f>+Q57+1.9</f>
        <v>91.67972198820553</v>
      </c>
      <c r="Q57" s="120">
        <f>+R57+$P$79</f>
        <v>89.77972198820552</v>
      </c>
      <c r="R57" s="121">
        <f t="shared" si="7"/>
        <v>90.97972198820553</v>
      </c>
      <c r="S57" s="103">
        <f t="shared" si="11"/>
        <v>0.23315080033698388</v>
      </c>
      <c r="T57" s="146">
        <f t="shared" si="8"/>
        <v>0.017326032013479563</v>
      </c>
      <c r="U57" s="19">
        <v>40</v>
      </c>
      <c r="X57">
        <v>84</v>
      </c>
      <c r="Y57">
        <v>10</v>
      </c>
      <c r="AM57" s="171"/>
      <c r="AN57" s="111">
        <v>875</v>
      </c>
      <c r="AO57" s="111" t="s">
        <v>191</v>
      </c>
      <c r="AP57" s="179" t="s">
        <v>218</v>
      </c>
      <c r="AQ57" s="173">
        <v>93.17</v>
      </c>
      <c r="AR57" s="180">
        <v>89.77972198820552</v>
      </c>
      <c r="AS57" s="180"/>
      <c r="AT57" s="175">
        <f t="shared" si="5"/>
        <v>3.3902780117944786</v>
      </c>
      <c r="AU57" s="173">
        <v>92.67972198820553</v>
      </c>
      <c r="AV57" s="171"/>
    </row>
    <row r="58" spans="1:48" ht="12.75">
      <c r="A58" s="4"/>
      <c r="B58" s="4"/>
      <c r="C58" s="4">
        <f t="shared" si="1"/>
        <v>3286.8599999999997</v>
      </c>
      <c r="D58" s="29">
        <v>343</v>
      </c>
      <c r="E58" s="4">
        <v>7.86</v>
      </c>
      <c r="F58" t="s">
        <v>20</v>
      </c>
      <c r="G58" s="4">
        <f t="shared" si="12"/>
        <v>96.24</v>
      </c>
      <c r="H58" s="4"/>
      <c r="I58" s="29">
        <v>900</v>
      </c>
      <c r="J58" s="29" t="s">
        <v>32</v>
      </c>
      <c r="K58" s="131" t="s">
        <v>216</v>
      </c>
      <c r="L58" s="4">
        <v>11.21</v>
      </c>
      <c r="M58" s="4">
        <f t="shared" si="10"/>
        <v>92.74000000000001</v>
      </c>
      <c r="N58" s="99">
        <f t="shared" si="2"/>
        <v>1000.7811250914411</v>
      </c>
      <c r="O58" s="116">
        <f>+Q58+$O$77</f>
        <v>92.44657118786854</v>
      </c>
      <c r="P58" s="96">
        <f>+Q58+0.45</f>
        <v>91.49657118786854</v>
      </c>
      <c r="Q58" s="116">
        <f>+R58+$P$77</f>
        <v>91.04657118786854</v>
      </c>
      <c r="R58" s="121">
        <f t="shared" si="7"/>
        <v>90.74657118786854</v>
      </c>
      <c r="S58" s="103">
        <f t="shared" si="11"/>
        <v>0.23315080033698388</v>
      </c>
      <c r="T58" s="146">
        <f t="shared" si="8"/>
        <v>0.007326032013479562</v>
      </c>
      <c r="AM58" s="171">
        <v>902.5</v>
      </c>
      <c r="AN58" s="111">
        <v>900</v>
      </c>
      <c r="AO58" s="111" t="s">
        <v>32</v>
      </c>
      <c r="AP58" s="172" t="s">
        <v>216</v>
      </c>
      <c r="AQ58" s="173">
        <v>92.74</v>
      </c>
      <c r="AR58" s="174">
        <v>91.04657118786854</v>
      </c>
      <c r="AS58" s="174"/>
      <c r="AT58" s="175">
        <f t="shared" si="5"/>
        <v>1.693428812131458</v>
      </c>
      <c r="AU58" s="173">
        <v>92.44657118786854</v>
      </c>
      <c r="AV58" s="171"/>
    </row>
    <row r="59" spans="1:48" ht="12.75">
      <c r="A59" s="4"/>
      <c r="B59" s="4"/>
      <c r="C59" s="4">
        <f t="shared" si="1"/>
        <v>3286.72</v>
      </c>
      <c r="D59" s="29">
        <v>350</v>
      </c>
      <c r="E59" s="4">
        <v>8</v>
      </c>
      <c r="F59" t="s">
        <v>20</v>
      </c>
      <c r="G59" s="4">
        <f t="shared" si="12"/>
        <v>96.1</v>
      </c>
      <c r="H59" s="4"/>
      <c r="I59" s="29">
        <v>925</v>
      </c>
      <c r="J59" s="29" t="s">
        <v>197</v>
      </c>
      <c r="K59" s="132" t="s">
        <v>217</v>
      </c>
      <c r="L59" s="4">
        <v>12.35</v>
      </c>
      <c r="M59" s="4">
        <f t="shared" si="10"/>
        <v>91.60000000000001</v>
      </c>
      <c r="N59" s="99">
        <f t="shared" si="2"/>
        <v>1000.4336488661303</v>
      </c>
      <c r="O59" s="121">
        <f>+Q59+$O$78</f>
        <v>92.21342038753156</v>
      </c>
      <c r="P59" s="115">
        <f>+Q59+0.9</f>
        <v>91.41342038753156</v>
      </c>
      <c r="Q59" s="121">
        <f>+R59+$P$78</f>
        <v>90.51342038753155</v>
      </c>
      <c r="R59" s="121">
        <f t="shared" si="7"/>
        <v>90.51342038753155</v>
      </c>
      <c r="S59" s="103">
        <f t="shared" si="11"/>
        <v>0.23315080033698388</v>
      </c>
      <c r="T59" s="146">
        <f t="shared" si="8"/>
        <v>0.003326032013479221</v>
      </c>
      <c r="AM59" s="171"/>
      <c r="AN59" s="111">
        <v>925</v>
      </c>
      <c r="AO59" s="111" t="s">
        <v>197</v>
      </c>
      <c r="AP59" s="177" t="s">
        <v>217</v>
      </c>
      <c r="AQ59" s="173">
        <v>91.6</v>
      </c>
      <c r="AR59" s="178">
        <v>90.51342038753155</v>
      </c>
      <c r="AS59" s="178"/>
      <c r="AT59" s="175">
        <f t="shared" si="5"/>
        <v>1.0865796124684408</v>
      </c>
      <c r="AU59" s="173">
        <v>92.21342038753156</v>
      </c>
      <c r="AV59" s="171"/>
    </row>
    <row r="60" spans="1:48" ht="12.75">
      <c r="A60" s="4"/>
      <c r="B60" s="4"/>
      <c r="C60" s="4">
        <f t="shared" si="1"/>
        <v>3286.22</v>
      </c>
      <c r="D60" s="29">
        <v>360</v>
      </c>
      <c r="E60" s="4">
        <v>8.5</v>
      </c>
      <c r="F60" t="s">
        <v>20</v>
      </c>
      <c r="G60" s="4">
        <f t="shared" si="12"/>
        <v>95.6</v>
      </c>
      <c r="H60" s="4"/>
      <c r="I60" s="29">
        <v>930</v>
      </c>
      <c r="J60" s="29" t="s">
        <v>192</v>
      </c>
      <c r="K60" s="133" t="s">
        <v>218</v>
      </c>
      <c r="L60" s="4">
        <v>12.29</v>
      </c>
      <c r="M60" s="4">
        <f t="shared" si="10"/>
        <v>91.66</v>
      </c>
      <c r="N60" s="99">
        <f t="shared" si="2"/>
        <v>1000.451937088515</v>
      </c>
      <c r="O60" s="120">
        <f>+Q60+$O$79</f>
        <v>92.16679022746416</v>
      </c>
      <c r="P60" s="97">
        <f>+Q60+1.9</f>
        <v>91.16679022746416</v>
      </c>
      <c r="Q60" s="120">
        <f>+R60+$P$79</f>
        <v>89.26679022746416</v>
      </c>
      <c r="R60" s="121">
        <f t="shared" si="7"/>
        <v>90.46679022746416</v>
      </c>
      <c r="S60" s="103">
        <f t="shared" si="11"/>
        <v>0.04663016006739677</v>
      </c>
      <c r="T60" s="146">
        <f t="shared" si="8"/>
        <v>0.049326032013479446</v>
      </c>
      <c r="U60" s="19">
        <v>55</v>
      </c>
      <c r="X60">
        <v>113</v>
      </c>
      <c r="Y60">
        <v>21</v>
      </c>
      <c r="AM60" s="171"/>
      <c r="AN60" s="111">
        <v>930</v>
      </c>
      <c r="AO60" s="111" t="s">
        <v>192</v>
      </c>
      <c r="AP60" s="179" t="s">
        <v>218</v>
      </c>
      <c r="AQ60" s="173">
        <v>91.66</v>
      </c>
      <c r="AR60" s="180">
        <v>89.26679022746416</v>
      </c>
      <c r="AS60" s="180"/>
      <c r="AT60" s="175">
        <f t="shared" si="5"/>
        <v>2.3932097725358403</v>
      </c>
      <c r="AU60" s="173">
        <v>92.16679022746416</v>
      </c>
      <c r="AV60" s="171"/>
    </row>
    <row r="61" spans="1:48" ht="12.75">
      <c r="A61" s="4"/>
      <c r="B61" s="4"/>
      <c r="C61" s="4">
        <f t="shared" si="1"/>
        <v>3286.23</v>
      </c>
      <c r="D61" s="29">
        <v>370</v>
      </c>
      <c r="E61" s="4">
        <v>8.49</v>
      </c>
      <c r="F61" t="s">
        <v>262</v>
      </c>
      <c r="G61" s="4">
        <f t="shared" si="12"/>
        <v>95.61</v>
      </c>
      <c r="H61" s="4"/>
      <c r="I61" s="29">
        <v>950</v>
      </c>
      <c r="J61" s="29" t="s">
        <v>162</v>
      </c>
      <c r="K61" s="131" t="s">
        <v>216</v>
      </c>
      <c r="L61" s="4">
        <v>12.46</v>
      </c>
      <c r="M61" s="4">
        <f t="shared" si="10"/>
        <v>91.49000000000001</v>
      </c>
      <c r="N61" s="99">
        <f t="shared" si="2"/>
        <v>1000.4001204584248</v>
      </c>
      <c r="O61" s="116">
        <f>+Q61+$O$77</f>
        <v>91.98026958719457</v>
      </c>
      <c r="P61" s="96">
        <f>+Q61+0.45</f>
        <v>91.03026958719457</v>
      </c>
      <c r="Q61" s="116">
        <f>+R61+$P$77</f>
        <v>90.58026958719456</v>
      </c>
      <c r="R61" s="121">
        <f t="shared" si="7"/>
        <v>90.28026958719457</v>
      </c>
      <c r="S61" s="103">
        <f t="shared" si="11"/>
        <v>0.1865206402695871</v>
      </c>
      <c r="T61" s="146">
        <f t="shared" si="8"/>
        <v>0.006826032013479732</v>
      </c>
      <c r="W61" s="76">
        <f>I61-I56</f>
        <v>100</v>
      </c>
      <c r="AM61" s="171">
        <v>965</v>
      </c>
      <c r="AN61" s="111">
        <v>950</v>
      </c>
      <c r="AO61" s="111" t="s">
        <v>162</v>
      </c>
      <c r="AP61" s="172" t="s">
        <v>216</v>
      </c>
      <c r="AQ61" s="173">
        <v>91.49</v>
      </c>
      <c r="AR61" s="174">
        <v>90.58026958719456</v>
      </c>
      <c r="AS61" s="174"/>
      <c r="AT61" s="175">
        <f t="shared" si="5"/>
        <v>0.9097304128054304</v>
      </c>
      <c r="AU61" s="173">
        <v>91.98026958719457</v>
      </c>
      <c r="AV61" s="171"/>
    </row>
    <row r="62" spans="1:48" ht="12.75">
      <c r="A62" s="4"/>
      <c r="B62" s="4"/>
      <c r="C62" s="4">
        <f t="shared" si="1"/>
        <v>3286.0299999999997</v>
      </c>
      <c r="D62" s="29">
        <v>377</v>
      </c>
      <c r="E62" s="4">
        <v>8.69</v>
      </c>
      <c r="F62" t="s">
        <v>263</v>
      </c>
      <c r="G62" s="4">
        <f t="shared" si="12"/>
        <v>95.41</v>
      </c>
      <c r="H62" s="4"/>
      <c r="I62" s="29">
        <v>1000</v>
      </c>
      <c r="J62" s="29" t="s">
        <v>193</v>
      </c>
      <c r="K62" s="133" t="s">
        <v>218</v>
      </c>
      <c r="L62" s="4">
        <v>12.97</v>
      </c>
      <c r="M62" s="4">
        <f t="shared" si="10"/>
        <v>90.98</v>
      </c>
      <c r="N62" s="99">
        <f t="shared" si="2"/>
        <v>1000.2446705681541</v>
      </c>
      <c r="O62" s="120">
        <f>+Q62+$O$79</f>
        <v>91.5139679865206</v>
      </c>
      <c r="P62" s="97">
        <f>+Q62+1.9</f>
        <v>90.5139679865206</v>
      </c>
      <c r="Q62" s="120">
        <f>+R62+$P$79</f>
        <v>88.61396798652059</v>
      </c>
      <c r="R62" s="121">
        <f t="shared" si="7"/>
        <v>89.8139679865206</v>
      </c>
      <c r="S62" s="103">
        <f t="shared" si="11"/>
        <v>0.46630160067396775</v>
      </c>
      <c r="T62" s="146">
        <f t="shared" si="8"/>
        <v>0.010326032013479392</v>
      </c>
      <c r="U62" s="19">
        <v>70</v>
      </c>
      <c r="X62">
        <v>97</v>
      </c>
      <c r="Y62">
        <v>25</v>
      </c>
      <c r="AM62" s="171"/>
      <c r="AN62" s="111">
        <v>1000</v>
      </c>
      <c r="AO62" s="111" t="s">
        <v>193</v>
      </c>
      <c r="AP62" s="179" t="s">
        <v>218</v>
      </c>
      <c r="AQ62" s="173">
        <v>90.98</v>
      </c>
      <c r="AR62" s="180">
        <v>88.61396798652059</v>
      </c>
      <c r="AS62" s="180"/>
      <c r="AT62" s="175">
        <f t="shared" si="5"/>
        <v>2.366032013479412</v>
      </c>
      <c r="AU62" s="173">
        <v>91.5139679865206</v>
      </c>
      <c r="AV62" s="171"/>
    </row>
    <row r="63" spans="1:48" ht="12.75">
      <c r="A63" s="4">
        <v>104.3</v>
      </c>
      <c r="B63" s="4">
        <v>4.3</v>
      </c>
      <c r="C63" s="4">
        <f t="shared" si="1"/>
        <v>3285.64</v>
      </c>
      <c r="D63" s="29">
        <v>382</v>
      </c>
      <c r="E63" s="4">
        <v>9.08</v>
      </c>
      <c r="F63" t="s">
        <v>266</v>
      </c>
      <c r="G63" s="4">
        <f t="shared" si="12"/>
        <v>95.02</v>
      </c>
      <c r="H63" s="4"/>
      <c r="I63" s="29">
        <v>1025</v>
      </c>
      <c r="J63" s="29" t="s">
        <v>177</v>
      </c>
      <c r="K63" s="132" t="s">
        <v>217</v>
      </c>
      <c r="L63" s="4">
        <v>13.23</v>
      </c>
      <c r="M63" s="4">
        <f>+$A$63-L63</f>
        <v>91.07</v>
      </c>
      <c r="N63" s="99">
        <f t="shared" si="2"/>
        <v>1000.2721029017313</v>
      </c>
      <c r="O63" s="121">
        <f>+Q63+$O$78</f>
        <v>91.28081718618361</v>
      </c>
      <c r="P63" s="115">
        <f>+Q63+0.9</f>
        <v>90.48081718618361</v>
      </c>
      <c r="Q63" s="121">
        <f>+R63+$P$78</f>
        <v>89.58081718618361</v>
      </c>
      <c r="R63" s="121">
        <f t="shared" si="7"/>
        <v>89.58081718618361</v>
      </c>
      <c r="S63" s="103">
        <f t="shared" si="11"/>
        <v>0.23315080033698388</v>
      </c>
      <c r="T63" s="146">
        <f t="shared" si="8"/>
        <v>0.0013260320134793346</v>
      </c>
      <c r="AM63" s="171">
        <v>1020</v>
      </c>
      <c r="AN63" s="111">
        <v>1025</v>
      </c>
      <c r="AO63" s="111" t="s">
        <v>177</v>
      </c>
      <c r="AP63" s="177" t="s">
        <v>217</v>
      </c>
      <c r="AQ63" s="173">
        <v>91.07</v>
      </c>
      <c r="AR63" s="178">
        <v>89.58081718618361</v>
      </c>
      <c r="AS63" s="178"/>
      <c r="AT63" s="175">
        <f t="shared" si="5"/>
        <v>1.4891828138163845</v>
      </c>
      <c r="AU63" s="173">
        <v>91.28081718618361</v>
      </c>
      <c r="AV63" s="171"/>
    </row>
    <row r="64" spans="1:48" ht="12.75">
      <c r="A64" s="4"/>
      <c r="B64" s="4"/>
      <c r="C64" s="4">
        <f t="shared" si="1"/>
        <v>3284.96</v>
      </c>
      <c r="D64" s="29">
        <v>385</v>
      </c>
      <c r="E64" s="4">
        <v>9.76</v>
      </c>
      <c r="F64" t="s">
        <v>176</v>
      </c>
      <c r="G64" s="4">
        <f t="shared" si="12"/>
        <v>94.33999999999999</v>
      </c>
      <c r="H64" s="4"/>
      <c r="I64" s="29">
        <v>1040</v>
      </c>
      <c r="J64" s="29" t="s">
        <v>194</v>
      </c>
      <c r="K64" s="133" t="s">
        <v>218</v>
      </c>
      <c r="L64" s="4">
        <v>13.23</v>
      </c>
      <c r="M64" s="4">
        <f aca="true" t="shared" si="13" ref="M64:M72">+$A$63-L64</f>
        <v>91.07</v>
      </c>
      <c r="N64" s="99">
        <f t="shared" si="2"/>
        <v>1000.2721029017313</v>
      </c>
      <c r="O64" s="120">
        <f>+Q64+$O$79</f>
        <v>91.14092670598141</v>
      </c>
      <c r="P64" s="97">
        <f>+Q64+1.9</f>
        <v>90.14092670598141</v>
      </c>
      <c r="Q64" s="120">
        <f>+R64+$P$79</f>
        <v>88.24092670598141</v>
      </c>
      <c r="R64" s="121">
        <f t="shared" si="7"/>
        <v>89.44092670598141</v>
      </c>
      <c r="S64" s="103">
        <f t="shared" si="11"/>
        <v>0.1398904802021903</v>
      </c>
      <c r="T64" s="146">
        <f t="shared" si="8"/>
        <v>0.02265936534681335</v>
      </c>
      <c r="U64" s="149">
        <v>40</v>
      </c>
      <c r="X64">
        <v>75</v>
      </c>
      <c r="Y64">
        <v>32</v>
      </c>
      <c r="AM64" s="171"/>
      <c r="AN64" s="111">
        <v>1040</v>
      </c>
      <c r="AO64" s="111" t="s">
        <v>194</v>
      </c>
      <c r="AP64" s="179" t="s">
        <v>218</v>
      </c>
      <c r="AQ64" s="173">
        <v>91.07</v>
      </c>
      <c r="AR64" s="180">
        <v>88.24092670598141</v>
      </c>
      <c r="AS64" s="180"/>
      <c r="AT64" s="175">
        <f t="shared" si="5"/>
        <v>2.8290732940185848</v>
      </c>
      <c r="AU64" s="173">
        <v>91.14092670598141</v>
      </c>
      <c r="AV64" s="171"/>
    </row>
    <row r="65" spans="1:48" ht="12.75">
      <c r="A65" s="4"/>
      <c r="B65" s="4"/>
      <c r="C65" s="4">
        <f t="shared" si="1"/>
        <v>3285.56</v>
      </c>
      <c r="D65" s="29">
        <v>396</v>
      </c>
      <c r="E65" s="4">
        <v>9.16</v>
      </c>
      <c r="F65" t="s">
        <v>267</v>
      </c>
      <c r="G65" s="4">
        <f t="shared" si="12"/>
        <v>94.94</v>
      </c>
      <c r="H65" s="4"/>
      <c r="I65" s="29">
        <v>1050</v>
      </c>
      <c r="J65" s="29" t="s">
        <v>196</v>
      </c>
      <c r="K65" s="132" t="s">
        <v>217</v>
      </c>
      <c r="L65" s="4">
        <v>13.36</v>
      </c>
      <c r="M65" s="4">
        <f t="shared" si="13"/>
        <v>90.94</v>
      </c>
      <c r="N65" s="99">
        <f t="shared" si="2"/>
        <v>1000.2324784198976</v>
      </c>
      <c r="O65" s="121">
        <f>+Q65+$O$78</f>
        <v>91.04766638584663</v>
      </c>
      <c r="P65" s="115">
        <f>+Q65+0.9</f>
        <v>90.24766638584663</v>
      </c>
      <c r="Q65" s="121">
        <f>+R65+$P$78</f>
        <v>89.34766638584662</v>
      </c>
      <c r="R65" s="121">
        <f t="shared" si="7"/>
        <v>89.34766638584662</v>
      </c>
      <c r="S65" s="103">
        <f t="shared" si="11"/>
        <v>0.09326032013479355</v>
      </c>
      <c r="T65" s="146">
        <f t="shared" si="8"/>
        <v>-0.010673967986521404</v>
      </c>
      <c r="U65" s="36"/>
      <c r="V65" s="74"/>
      <c r="W65" s="82"/>
      <c r="X65" s="4"/>
      <c r="AM65" s="171">
        <v>1061.5</v>
      </c>
      <c r="AN65" s="111">
        <v>1050</v>
      </c>
      <c r="AO65" s="111" t="s">
        <v>196</v>
      </c>
      <c r="AP65" s="177" t="s">
        <v>217</v>
      </c>
      <c r="AQ65" s="173">
        <v>90.94</v>
      </c>
      <c r="AR65" s="178">
        <v>89.34766638584662</v>
      </c>
      <c r="AS65" s="178"/>
      <c r="AT65" s="175">
        <f t="shared" si="5"/>
        <v>1.5923336141533753</v>
      </c>
      <c r="AU65" s="173">
        <v>91.04766638584663</v>
      </c>
      <c r="AV65" s="171"/>
    </row>
    <row r="66" spans="1:48" ht="12.75">
      <c r="A66" s="4"/>
      <c r="B66" s="35"/>
      <c r="C66" s="4">
        <f t="shared" si="1"/>
        <v>3285.7799999999997</v>
      </c>
      <c r="D66" s="37">
        <v>403</v>
      </c>
      <c r="E66" s="35">
        <v>8.94</v>
      </c>
      <c r="F66" s="105" t="s">
        <v>227</v>
      </c>
      <c r="G66" s="4">
        <f t="shared" si="12"/>
        <v>95.16</v>
      </c>
      <c r="H66" s="4"/>
      <c r="I66" s="29">
        <v>1075</v>
      </c>
      <c r="J66" s="29" t="s">
        <v>195</v>
      </c>
      <c r="K66" s="132" t="s">
        <v>217</v>
      </c>
      <c r="L66" s="4">
        <v>13.69</v>
      </c>
      <c r="M66" s="4">
        <f t="shared" si="13"/>
        <v>90.61</v>
      </c>
      <c r="N66" s="99">
        <f t="shared" si="2"/>
        <v>1000.1318931967813</v>
      </c>
      <c r="O66" s="121">
        <f>+Q66+$O$78</f>
        <v>90.81451558550964</v>
      </c>
      <c r="P66" s="115">
        <f>+Q66+0.9</f>
        <v>90.01451558550964</v>
      </c>
      <c r="Q66" s="121">
        <f>+R66+$P$78</f>
        <v>89.11451558550964</v>
      </c>
      <c r="R66" s="121">
        <f t="shared" si="7"/>
        <v>89.11451558550964</v>
      </c>
      <c r="S66" s="103">
        <f t="shared" si="11"/>
        <v>0.23315080033698388</v>
      </c>
      <c r="T66" s="146">
        <f t="shared" si="8"/>
        <v>0.009326032013479448</v>
      </c>
      <c r="V66" s="75"/>
      <c r="W66" s="83"/>
      <c r="AM66" s="171"/>
      <c r="AN66" s="111">
        <v>1075</v>
      </c>
      <c r="AO66" s="111" t="s">
        <v>195</v>
      </c>
      <c r="AP66" s="177" t="s">
        <v>217</v>
      </c>
      <c r="AQ66" s="173">
        <v>90.61</v>
      </c>
      <c r="AR66" s="178">
        <v>89.11451558550964</v>
      </c>
      <c r="AS66" s="178"/>
      <c r="AT66" s="175">
        <f t="shared" si="5"/>
        <v>1.4954844144903632</v>
      </c>
      <c r="AU66" s="173">
        <v>90.81451558550964</v>
      </c>
      <c r="AV66" s="171"/>
    </row>
    <row r="67" spans="1:48" ht="12.75">
      <c r="A67" s="4"/>
      <c r="B67" s="4"/>
      <c r="C67" s="4">
        <f t="shared" si="1"/>
        <v>3285.95</v>
      </c>
      <c r="D67" s="29">
        <v>411</v>
      </c>
      <c r="E67" s="4">
        <v>8.77</v>
      </c>
      <c r="F67" t="s">
        <v>162</v>
      </c>
      <c r="G67" s="4">
        <f t="shared" si="12"/>
        <v>95.33</v>
      </c>
      <c r="H67" s="4"/>
      <c r="I67" s="29">
        <v>1083</v>
      </c>
      <c r="J67" s="29" t="s">
        <v>169</v>
      </c>
      <c r="K67" s="133" t="s">
        <v>218</v>
      </c>
      <c r="L67" s="4">
        <v>13.57</v>
      </c>
      <c r="M67" s="4">
        <f t="shared" si="13"/>
        <v>90.72999999999999</v>
      </c>
      <c r="N67" s="99">
        <f t="shared" si="2"/>
        <v>1000.1684696415508</v>
      </c>
      <c r="O67" s="120">
        <f>+Q67+$O$79</f>
        <v>90.7399073294018</v>
      </c>
      <c r="P67" s="97">
        <f>+Q67+1.9</f>
        <v>89.7399073294018</v>
      </c>
      <c r="Q67" s="120">
        <f>+R67+$P$79</f>
        <v>87.8399073294018</v>
      </c>
      <c r="R67" s="121">
        <f t="shared" si="7"/>
        <v>89.0399073294018</v>
      </c>
      <c r="S67" s="103">
        <f t="shared" si="11"/>
        <v>0.07460825610783484</v>
      </c>
      <c r="T67" s="146">
        <f t="shared" si="8"/>
        <v>0.034326032013479946</v>
      </c>
      <c r="U67" s="19">
        <v>43</v>
      </c>
      <c r="X67">
        <v>88</v>
      </c>
      <c r="Y67">
        <v>10</v>
      </c>
      <c r="AM67" s="171"/>
      <c r="AN67" s="111">
        <v>1083</v>
      </c>
      <c r="AO67" s="111" t="s">
        <v>169</v>
      </c>
      <c r="AP67" s="179" t="s">
        <v>218</v>
      </c>
      <c r="AQ67" s="173">
        <v>90.73</v>
      </c>
      <c r="AR67" s="180">
        <v>87.8399073294018</v>
      </c>
      <c r="AS67" s="180"/>
      <c r="AT67" s="175">
        <f t="shared" si="5"/>
        <v>2.8900926705982073</v>
      </c>
      <c r="AU67" s="173">
        <v>90.7399073294018</v>
      </c>
      <c r="AV67" s="171"/>
    </row>
    <row r="68" spans="1:48" ht="12.75">
      <c r="A68" s="4"/>
      <c r="B68" s="4"/>
      <c r="C68" s="4">
        <f t="shared" si="1"/>
        <v>3285.92</v>
      </c>
      <c r="D68" s="29">
        <v>420</v>
      </c>
      <c r="E68" s="4">
        <v>8.8</v>
      </c>
      <c r="F68" t="s">
        <v>20</v>
      </c>
      <c r="G68" s="4">
        <f t="shared" si="12"/>
        <v>95.3</v>
      </c>
      <c r="H68" s="4"/>
      <c r="I68" s="29">
        <v>1100</v>
      </c>
      <c r="J68" s="29" t="s">
        <v>162</v>
      </c>
      <c r="K68" s="132" t="s">
        <v>217</v>
      </c>
      <c r="L68" s="4">
        <v>13.07</v>
      </c>
      <c r="M68" s="4">
        <f t="shared" si="13"/>
        <v>91.22999999999999</v>
      </c>
      <c r="N68" s="99">
        <f t="shared" si="2"/>
        <v>1000.3208714947574</v>
      </c>
      <c r="O68" s="121">
        <f>+Q68+$O$78</f>
        <v>90.58136478517265</v>
      </c>
      <c r="P68" s="115">
        <f>+Q68+0.9</f>
        <v>89.78136478517266</v>
      </c>
      <c r="Q68" s="121">
        <f>+R68+$P$78</f>
        <v>88.88136478517265</v>
      </c>
      <c r="R68" s="121">
        <f t="shared" si="7"/>
        <v>88.88136478517265</v>
      </c>
      <c r="S68" s="103">
        <f t="shared" si="11"/>
        <v>0.15854254422914904</v>
      </c>
      <c r="T68" s="146">
        <f t="shared" si="8"/>
        <v>-0.002438673868873727</v>
      </c>
      <c r="V68" s="89"/>
      <c r="W68" s="90"/>
      <c r="AM68" s="171">
        <v>1116.5</v>
      </c>
      <c r="AN68" s="111">
        <v>1100</v>
      </c>
      <c r="AO68" s="111" t="s">
        <v>162</v>
      </c>
      <c r="AP68" s="177" t="s">
        <v>217</v>
      </c>
      <c r="AQ68" s="173">
        <v>91.23</v>
      </c>
      <c r="AR68" s="178">
        <v>88.88136478517265</v>
      </c>
      <c r="AS68" s="178"/>
      <c r="AT68" s="175">
        <f t="shared" si="5"/>
        <v>2.348635214827354</v>
      </c>
      <c r="AU68" s="173">
        <v>90.58136478517265</v>
      </c>
      <c r="AV68" s="171"/>
    </row>
    <row r="69" spans="1:48" ht="12.75">
      <c r="A69" s="4"/>
      <c r="B69" s="4"/>
      <c r="C69" s="4">
        <f t="shared" si="1"/>
        <v>3285.75</v>
      </c>
      <c r="D69" s="29">
        <v>430</v>
      </c>
      <c r="E69" s="4">
        <v>8.97</v>
      </c>
      <c r="F69" t="s">
        <v>20</v>
      </c>
      <c r="G69" s="4">
        <f t="shared" si="12"/>
        <v>95.13</v>
      </c>
      <c r="H69" s="4"/>
      <c r="I69" s="29">
        <v>1125</v>
      </c>
      <c r="J69" s="29" t="s">
        <v>200</v>
      </c>
      <c r="K69" s="131" t="s">
        <v>216</v>
      </c>
      <c r="L69" s="4">
        <v>13.17</v>
      </c>
      <c r="M69" s="4">
        <f t="shared" si="13"/>
        <v>91.13</v>
      </c>
      <c r="N69" s="99">
        <f t="shared" si="2"/>
        <v>1000.2903911241161</v>
      </c>
      <c r="O69" s="116">
        <f>+Q69+$O$77</f>
        <v>90.34821398483567</v>
      </c>
      <c r="P69" s="96">
        <f>+Q69+0.45</f>
        <v>89.39821398483566</v>
      </c>
      <c r="Q69" s="116">
        <f>+R69+$P$77</f>
        <v>88.94821398483566</v>
      </c>
      <c r="R69" s="121">
        <f t="shared" si="7"/>
        <v>88.64821398483566</v>
      </c>
      <c r="S69" s="103">
        <f t="shared" si="11"/>
        <v>0.23315080033698388</v>
      </c>
      <c r="T69" s="146">
        <f t="shared" si="8"/>
        <v>0.015326032013479676</v>
      </c>
      <c r="AM69" s="171"/>
      <c r="AN69" s="111">
        <v>1125</v>
      </c>
      <c r="AO69" s="111" t="s">
        <v>200</v>
      </c>
      <c r="AP69" s="172" t="s">
        <v>216</v>
      </c>
      <c r="AQ69" s="173">
        <v>91.13</v>
      </c>
      <c r="AR69" s="174">
        <v>88.94821398483566</v>
      </c>
      <c r="AS69" s="174"/>
      <c r="AT69" s="175">
        <f t="shared" si="5"/>
        <v>2.1817860151643345</v>
      </c>
      <c r="AU69" s="173">
        <v>90.34821398483567</v>
      </c>
      <c r="AV69" s="171"/>
    </row>
    <row r="70" spans="1:48" ht="12.75">
      <c r="A70" s="4"/>
      <c r="B70" s="4"/>
      <c r="C70" s="4">
        <f t="shared" si="1"/>
        <v>3285.74</v>
      </c>
      <c r="D70" s="29">
        <v>440</v>
      </c>
      <c r="E70" s="4">
        <v>8.98</v>
      </c>
      <c r="F70" t="s">
        <v>20</v>
      </c>
      <c r="G70" s="4">
        <f t="shared" si="12"/>
        <v>95.11999999999999</v>
      </c>
      <c r="H70" s="4"/>
      <c r="I70" s="29">
        <v>1150</v>
      </c>
      <c r="J70" s="29" t="s">
        <v>168</v>
      </c>
      <c r="K70" s="133" t="s">
        <v>218</v>
      </c>
      <c r="L70" s="4">
        <v>13.11</v>
      </c>
      <c r="M70" s="4">
        <f t="shared" si="13"/>
        <v>91.19</v>
      </c>
      <c r="N70" s="99">
        <f t="shared" si="2"/>
        <v>1000.3086793465009</v>
      </c>
      <c r="O70" s="120">
        <f>+Q70+$O$79</f>
        <v>90.11506318449868</v>
      </c>
      <c r="P70" s="97">
        <f>+Q70+1.9</f>
        <v>89.11506318449868</v>
      </c>
      <c r="Q70" s="120">
        <f>+R70+$P$79</f>
        <v>87.21506318449867</v>
      </c>
      <c r="R70" s="121">
        <f t="shared" si="7"/>
        <v>88.41506318449868</v>
      </c>
      <c r="S70" s="103">
        <f t="shared" si="11"/>
        <v>0.23315080033698388</v>
      </c>
      <c r="T70" s="146">
        <f t="shared" si="8"/>
        <v>0.011326032013479335</v>
      </c>
      <c r="U70" s="19">
        <v>67</v>
      </c>
      <c r="X70">
        <v>96</v>
      </c>
      <c r="Y70">
        <v>16</v>
      </c>
      <c r="AM70" s="171"/>
      <c r="AN70" s="111">
        <v>1150</v>
      </c>
      <c r="AO70" s="111" t="s">
        <v>168</v>
      </c>
      <c r="AP70" s="179" t="s">
        <v>218</v>
      </c>
      <c r="AQ70" s="173">
        <v>91.19</v>
      </c>
      <c r="AR70" s="180">
        <v>87.21506318449867</v>
      </c>
      <c r="AS70" s="180"/>
      <c r="AT70" s="175">
        <f t="shared" si="5"/>
        <v>3.974936815501323</v>
      </c>
      <c r="AU70" s="173">
        <v>90.11506318449868</v>
      </c>
      <c r="AV70" s="171"/>
    </row>
    <row r="71" spans="1:48" ht="12.75">
      <c r="A71" s="4"/>
      <c r="B71" s="4"/>
      <c r="C71" s="4">
        <f t="shared" si="1"/>
        <v>3285.65</v>
      </c>
      <c r="D71" s="29">
        <v>450</v>
      </c>
      <c r="E71" s="4">
        <v>9.07</v>
      </c>
      <c r="F71" t="s">
        <v>262</v>
      </c>
      <c r="G71" s="4">
        <f t="shared" si="12"/>
        <v>95.03</v>
      </c>
      <c r="H71" s="4"/>
      <c r="I71" s="45">
        <v>1175</v>
      </c>
      <c r="J71" s="94" t="s">
        <v>211</v>
      </c>
      <c r="K71" s="131" t="s">
        <v>216</v>
      </c>
      <c r="L71" s="4">
        <v>13.07</v>
      </c>
      <c r="M71" s="4">
        <f t="shared" si="13"/>
        <v>91.22999999999999</v>
      </c>
      <c r="N71" s="99">
        <f t="shared" si="2"/>
        <v>1000.3208714947574</v>
      </c>
      <c r="O71" s="116">
        <f>+Q71+$O$77</f>
        <v>89.8819123841617</v>
      </c>
      <c r="P71" s="96">
        <f>+Q71+0.45</f>
        <v>88.93191238416169</v>
      </c>
      <c r="Q71" s="116">
        <f>+R71+$P$77</f>
        <v>88.48191238416169</v>
      </c>
      <c r="R71" s="121">
        <f t="shared" si="7"/>
        <v>88.18191238416169</v>
      </c>
      <c r="S71" s="103">
        <f t="shared" si="11"/>
        <v>0.23315080033698388</v>
      </c>
      <c r="T71" s="146">
        <f t="shared" si="8"/>
        <v>0.007326032013479562</v>
      </c>
      <c r="V71" s="70"/>
      <c r="W71" s="84"/>
      <c r="AM71" s="171"/>
      <c r="AN71" s="183">
        <v>1175</v>
      </c>
      <c r="AO71" s="184" t="s">
        <v>211</v>
      </c>
      <c r="AP71" s="172" t="s">
        <v>216</v>
      </c>
      <c r="AQ71" s="173">
        <v>91.23</v>
      </c>
      <c r="AR71" s="174">
        <v>88.48191238416169</v>
      </c>
      <c r="AS71" s="174"/>
      <c r="AT71" s="175">
        <f t="shared" si="5"/>
        <v>2.7480876158383154</v>
      </c>
      <c r="AU71" s="173">
        <v>89.8819123841617</v>
      </c>
      <c r="AV71" s="171"/>
    </row>
    <row r="72" spans="1:48" ht="12.75">
      <c r="A72" s="4"/>
      <c r="B72" s="4"/>
      <c r="C72" s="4">
        <f t="shared" si="1"/>
        <v>3284.93</v>
      </c>
      <c r="D72" s="188">
        <v>456</v>
      </c>
      <c r="E72" s="189">
        <v>9.79</v>
      </c>
      <c r="F72" s="186" t="s">
        <v>227</v>
      </c>
      <c r="G72" s="4">
        <f t="shared" si="12"/>
        <v>94.31</v>
      </c>
      <c r="H72" s="4"/>
      <c r="I72" s="117">
        <v>1187</v>
      </c>
      <c r="J72" s="117" t="s">
        <v>167</v>
      </c>
      <c r="K72" s="131" t="s">
        <v>216</v>
      </c>
      <c r="L72" s="47">
        <v>13.13</v>
      </c>
      <c r="M72" s="47">
        <f t="shared" si="13"/>
        <v>91.17</v>
      </c>
      <c r="N72" s="118">
        <f t="shared" si="2"/>
        <v>1000.3025832723727</v>
      </c>
      <c r="O72" s="141">
        <f>+Q72+$O$77</f>
        <v>89.76999999999994</v>
      </c>
      <c r="P72" s="142">
        <f>+Q72+0.45</f>
        <v>88.81999999999994</v>
      </c>
      <c r="Q72" s="205">
        <f>+R72+$P$77</f>
        <v>88.36999999999993</v>
      </c>
      <c r="R72" s="140">
        <f t="shared" si="7"/>
        <v>88.06999999999994</v>
      </c>
      <c r="S72" s="119">
        <f t="shared" si="11"/>
        <v>0.11191238416175225</v>
      </c>
      <c r="T72" s="150">
        <f t="shared" si="8"/>
        <v>0.00932603201347959</v>
      </c>
      <c r="U72" s="48"/>
      <c r="V72" s="151"/>
      <c r="W72" s="152"/>
      <c r="X72" s="62"/>
      <c r="Y72" s="62"/>
      <c r="AM72" s="171"/>
      <c r="AN72" s="111">
        <v>1187</v>
      </c>
      <c r="AO72" s="111" t="s">
        <v>241</v>
      </c>
      <c r="AP72" s="172" t="s">
        <v>216</v>
      </c>
      <c r="AQ72" s="173">
        <v>91.17</v>
      </c>
      <c r="AR72" s="174">
        <v>88.36999999999993</v>
      </c>
      <c r="AS72" s="174"/>
      <c r="AT72" s="175">
        <f t="shared" si="5"/>
        <v>2.800000000000068</v>
      </c>
      <c r="AU72" s="173">
        <v>89.76999999999994</v>
      </c>
      <c r="AV72" s="171"/>
    </row>
    <row r="73" spans="1:24" ht="12.75">
      <c r="A73" s="4"/>
      <c r="B73" s="4"/>
      <c r="C73" s="4">
        <f t="shared" si="1"/>
        <v>3284.5899999999997</v>
      </c>
      <c r="D73" s="187">
        <v>458</v>
      </c>
      <c r="E73" s="104">
        <v>10.13</v>
      </c>
      <c r="F73" s="187" t="s">
        <v>266</v>
      </c>
      <c r="G73" s="4">
        <f t="shared" si="12"/>
        <v>93.97</v>
      </c>
      <c r="H73" s="4"/>
      <c r="I73" s="4"/>
      <c r="J73" s="4"/>
      <c r="K73" s="35"/>
      <c r="L73" s="4" t="s">
        <v>225</v>
      </c>
      <c r="M73" s="4">
        <f>+M12-M72</f>
        <v>10.560000000000002</v>
      </c>
      <c r="T73" s="103"/>
      <c r="U73" s="149">
        <f>AVERAGE(U14:U72)</f>
        <v>64.05555555555556</v>
      </c>
      <c r="X73" s="4">
        <f>AVERAGE(X15:X72)</f>
        <v>102.66666666666667</v>
      </c>
    </row>
    <row r="74" spans="1:46" ht="12.75">
      <c r="A74" s="4"/>
      <c r="B74" s="4"/>
      <c r="C74" s="4">
        <f t="shared" si="1"/>
        <v>3284.49</v>
      </c>
      <c r="D74" s="29">
        <v>461</v>
      </c>
      <c r="E74" s="4">
        <v>10.23</v>
      </c>
      <c r="F74" t="s">
        <v>178</v>
      </c>
      <c r="G74" s="4">
        <f t="shared" si="12"/>
        <v>93.86999999999999</v>
      </c>
      <c r="H74" s="4"/>
      <c r="I74" s="4"/>
      <c r="J74" s="4"/>
      <c r="K74" s="35"/>
      <c r="L74" s="4" t="s">
        <v>203</v>
      </c>
      <c r="M74" s="95">
        <f>+(M12-M72)/I72</f>
        <v>0.008896377422072454</v>
      </c>
      <c r="P74" s="42" t="s">
        <v>259</v>
      </c>
      <c r="R74" s="157">
        <f>+(99.44-88.37)/1187</f>
        <v>0.009326032013479355</v>
      </c>
      <c r="U74" s="149">
        <f>MIN(U15:U73)</f>
        <v>40</v>
      </c>
      <c r="X74" s="4">
        <f>MIN(X15:X73)</f>
        <v>75</v>
      </c>
      <c r="AN74" s="111" t="s">
        <v>221</v>
      </c>
      <c r="AO74" s="112" t="s">
        <v>125</v>
      </c>
      <c r="AP74" s="112" t="s">
        <v>12</v>
      </c>
      <c r="AQ74" s="134"/>
      <c r="AR74" s="113" t="s">
        <v>219</v>
      </c>
      <c r="AS74" s="162"/>
      <c r="AT74" s="158" t="s">
        <v>220</v>
      </c>
    </row>
    <row r="75" spans="1:46" ht="12.75">
      <c r="A75" s="4"/>
      <c r="B75" s="4"/>
      <c r="C75" s="4">
        <f t="shared" si="1"/>
        <v>3284.6</v>
      </c>
      <c r="D75" s="29">
        <v>467</v>
      </c>
      <c r="E75" s="4">
        <v>10.12</v>
      </c>
      <c r="F75" s="29" t="s">
        <v>267</v>
      </c>
      <c r="G75" s="4">
        <f t="shared" si="12"/>
        <v>93.97999999999999</v>
      </c>
      <c r="H75" s="4"/>
      <c r="I75" s="4"/>
      <c r="J75" s="4"/>
      <c r="K75" s="35"/>
      <c r="R75" s="95"/>
      <c r="S75" s="78" t="s">
        <v>205</v>
      </c>
      <c r="T75" s="64">
        <v>0.01297</v>
      </c>
      <c r="U75" s="149">
        <f>MAX(U16:U74)</f>
        <v>108</v>
      </c>
      <c r="X75" s="4">
        <f>MAX(X16:X74)</f>
        <v>128</v>
      </c>
      <c r="AN75" s="123" t="s">
        <v>216</v>
      </c>
      <c r="AO75" s="124">
        <v>11.5</v>
      </c>
      <c r="AP75" s="124">
        <v>0.97</v>
      </c>
      <c r="AQ75" s="135"/>
      <c r="AR75" s="125">
        <v>1.4</v>
      </c>
      <c r="AS75" s="125"/>
      <c r="AT75" s="159">
        <f>+AR76-AR75</f>
        <v>0.30000000000000004</v>
      </c>
    </row>
    <row r="76" spans="1:46" ht="12.75">
      <c r="A76" s="4"/>
      <c r="B76" s="4"/>
      <c r="C76" s="4">
        <f t="shared" si="1"/>
        <v>3284.91</v>
      </c>
      <c r="D76" s="29">
        <v>472</v>
      </c>
      <c r="E76" s="4">
        <v>9.81</v>
      </c>
      <c r="F76" t="s">
        <v>227</v>
      </c>
      <c r="G76" s="4">
        <f aca="true" t="shared" si="14" ref="G76:G108">+$A$11-E76</f>
        <v>94.28999999999999</v>
      </c>
      <c r="H76" s="4"/>
      <c r="J76" s="111" t="s">
        <v>221</v>
      </c>
      <c r="K76" s="111"/>
      <c r="L76" s="112" t="s">
        <v>125</v>
      </c>
      <c r="M76" s="112" t="s">
        <v>12</v>
      </c>
      <c r="N76" s="134"/>
      <c r="O76" s="113" t="s">
        <v>219</v>
      </c>
      <c r="P76" s="59" t="s">
        <v>220</v>
      </c>
      <c r="R76" s="55"/>
      <c r="S76" s="69" t="s">
        <v>204</v>
      </c>
      <c r="T76" s="63">
        <v>0.00496</v>
      </c>
      <c r="AN76" s="114" t="s">
        <v>217</v>
      </c>
      <c r="AO76" s="106">
        <v>9.5</v>
      </c>
      <c r="AP76" s="106">
        <v>1.28</v>
      </c>
      <c r="AQ76" s="136"/>
      <c r="AR76" s="107">
        <v>1.7</v>
      </c>
      <c r="AS76" s="107"/>
      <c r="AT76" s="160">
        <f>+AR76-AR76</f>
        <v>0</v>
      </c>
    </row>
    <row r="77" spans="1:46" ht="12.75">
      <c r="A77" s="4"/>
      <c r="B77" s="4"/>
      <c r="C77" s="4">
        <f aca="true" t="shared" si="15" ref="C77:C140">3290.62-100+G77</f>
        <v>3285.2799999999997</v>
      </c>
      <c r="D77" s="29">
        <v>480</v>
      </c>
      <c r="E77" s="4">
        <v>9.44</v>
      </c>
      <c r="F77" t="s">
        <v>162</v>
      </c>
      <c r="G77" s="4">
        <f t="shared" si="14"/>
        <v>94.66</v>
      </c>
      <c r="H77" s="4"/>
      <c r="J77" s="123" t="s">
        <v>216</v>
      </c>
      <c r="K77" s="123"/>
      <c r="L77" s="124">
        <v>11.5</v>
      </c>
      <c r="M77" s="124">
        <v>0.97</v>
      </c>
      <c r="N77" s="135"/>
      <c r="O77" s="125">
        <v>1.4</v>
      </c>
      <c r="P77" s="125">
        <f>+O78-O77</f>
        <v>0.30000000000000004</v>
      </c>
      <c r="R77" s="55"/>
      <c r="S77" s="78" t="s">
        <v>206</v>
      </c>
      <c r="T77" s="78">
        <v>0.56</v>
      </c>
      <c r="AN77" s="122" t="s">
        <v>218</v>
      </c>
      <c r="AO77" s="109">
        <v>8.5</v>
      </c>
      <c r="AP77" s="109">
        <v>2.2</v>
      </c>
      <c r="AQ77" s="137"/>
      <c r="AR77" s="110">
        <v>2.9</v>
      </c>
      <c r="AS77" s="110"/>
      <c r="AT77" s="161">
        <f>+AR76-AR77</f>
        <v>-1.2</v>
      </c>
    </row>
    <row r="78" spans="1:20" ht="12.75">
      <c r="A78" s="4"/>
      <c r="B78" s="4"/>
      <c r="C78" s="4">
        <f t="shared" si="15"/>
        <v>3285.5</v>
      </c>
      <c r="D78" s="29">
        <v>490</v>
      </c>
      <c r="E78" s="4">
        <v>9.22</v>
      </c>
      <c r="F78" t="s">
        <v>20</v>
      </c>
      <c r="G78" s="4">
        <f t="shared" si="14"/>
        <v>94.88</v>
      </c>
      <c r="H78" s="4"/>
      <c r="J78" s="114" t="s">
        <v>217</v>
      </c>
      <c r="K78" s="114"/>
      <c r="L78" s="106">
        <v>9.5</v>
      </c>
      <c r="M78" s="106">
        <v>1.28</v>
      </c>
      <c r="N78" s="136"/>
      <c r="O78" s="107">
        <v>1.7</v>
      </c>
      <c r="P78" s="107">
        <f>+O78-O78</f>
        <v>0</v>
      </c>
      <c r="R78" s="55"/>
      <c r="S78" s="69" t="s">
        <v>207</v>
      </c>
      <c r="T78" s="69">
        <v>1.35</v>
      </c>
    </row>
    <row r="79" spans="1:18" ht="12.75">
      <c r="A79" s="4"/>
      <c r="B79" s="4"/>
      <c r="C79" s="4">
        <f t="shared" si="15"/>
        <v>3285.68</v>
      </c>
      <c r="D79" s="29">
        <v>500</v>
      </c>
      <c r="E79" s="4">
        <v>9.04</v>
      </c>
      <c r="F79" t="s">
        <v>20</v>
      </c>
      <c r="G79" s="4">
        <f t="shared" si="14"/>
        <v>95.06</v>
      </c>
      <c r="H79" s="4"/>
      <c r="J79" s="122" t="s">
        <v>218</v>
      </c>
      <c r="K79" s="185"/>
      <c r="L79" s="109">
        <v>8.5</v>
      </c>
      <c r="M79" s="109">
        <v>2.2</v>
      </c>
      <c r="N79" s="137"/>
      <c r="O79" s="110">
        <v>2.9</v>
      </c>
      <c r="P79" s="108">
        <f>+O78-O79</f>
        <v>-1.2</v>
      </c>
      <c r="R79" s="55"/>
    </row>
    <row r="80" spans="1:18" ht="12.75">
      <c r="A80" s="4"/>
      <c r="B80" s="4"/>
      <c r="C80" s="4">
        <f t="shared" si="15"/>
        <v>3285.41</v>
      </c>
      <c r="D80" s="29">
        <v>510</v>
      </c>
      <c r="E80" s="4">
        <v>9.31</v>
      </c>
      <c r="F80" t="s">
        <v>20</v>
      </c>
      <c r="G80" s="4">
        <f t="shared" si="14"/>
        <v>94.78999999999999</v>
      </c>
      <c r="H80" s="4"/>
      <c r="R80" s="4"/>
    </row>
    <row r="81" spans="1:18" ht="12.75">
      <c r="A81" s="4"/>
      <c r="B81" s="4"/>
      <c r="C81" s="4">
        <f t="shared" si="15"/>
        <v>3285.5099999999998</v>
      </c>
      <c r="D81" s="29">
        <v>520</v>
      </c>
      <c r="E81" s="4">
        <v>9.21</v>
      </c>
      <c r="F81" t="s">
        <v>268</v>
      </c>
      <c r="G81" s="4">
        <f t="shared" si="14"/>
        <v>94.88999999999999</v>
      </c>
      <c r="H81" s="4"/>
      <c r="L81" s="4" t="s">
        <v>311</v>
      </c>
      <c r="N81" s="4" t="s">
        <v>310</v>
      </c>
      <c r="R81" s="55"/>
    </row>
    <row r="82" spans="1:13" ht="12.75">
      <c r="A82" s="4"/>
      <c r="B82" s="4"/>
      <c r="C82" s="4">
        <f t="shared" si="15"/>
        <v>3285.47</v>
      </c>
      <c r="D82" s="29">
        <v>527</v>
      </c>
      <c r="E82" s="4">
        <v>9.25</v>
      </c>
      <c r="F82" t="s">
        <v>262</v>
      </c>
      <c r="G82" s="4">
        <f t="shared" si="14"/>
        <v>94.85</v>
      </c>
      <c r="H82" s="4"/>
      <c r="J82" s="4" t="s">
        <v>293</v>
      </c>
      <c r="K82" s="4"/>
      <c r="L82" s="4">
        <v>999.599</v>
      </c>
      <c r="M82" s="4">
        <f>L82*3.2808</f>
        <v>3279.4843992</v>
      </c>
    </row>
    <row r="83" spans="1:14" ht="12.75">
      <c r="A83" s="4"/>
      <c r="B83" s="4"/>
      <c r="C83" s="4">
        <f t="shared" si="15"/>
        <v>3285.0499999999997</v>
      </c>
      <c r="D83" s="29">
        <v>535</v>
      </c>
      <c r="E83" s="4">
        <v>9.67</v>
      </c>
      <c r="F83" t="s">
        <v>263</v>
      </c>
      <c r="G83" s="4">
        <f t="shared" si="14"/>
        <v>94.42999999999999</v>
      </c>
      <c r="H83" s="4"/>
      <c r="J83" s="4" t="s">
        <v>294</v>
      </c>
      <c r="K83" s="4"/>
      <c r="L83" s="4">
        <f>999.11+(1/3.2808)</f>
        <v>999.4148037064131</v>
      </c>
      <c r="M83" s="4">
        <f>L83*3.2808</f>
        <v>3278.8800880000003</v>
      </c>
      <c r="N83" s="4">
        <v>3276.92</v>
      </c>
    </row>
    <row r="84" spans="1:13" ht="12.75">
      <c r="A84" s="4"/>
      <c r="B84" s="4"/>
      <c r="C84" s="4">
        <f t="shared" si="15"/>
        <v>3284.88</v>
      </c>
      <c r="D84" s="29">
        <v>542</v>
      </c>
      <c r="E84" s="4">
        <v>9.84</v>
      </c>
      <c r="F84" t="s">
        <v>266</v>
      </c>
      <c r="G84" s="4">
        <f t="shared" si="14"/>
        <v>94.25999999999999</v>
      </c>
      <c r="H84" s="4"/>
      <c r="J84" s="4"/>
      <c r="K84" s="55"/>
      <c r="L84" s="55">
        <v>1000.303</v>
      </c>
      <c r="M84" s="4">
        <f>L84*3.2808-100+89.77</f>
        <v>3271.5640824</v>
      </c>
    </row>
    <row r="85" spans="1:14" ht="12.75">
      <c r="A85" s="4"/>
      <c r="B85" s="4"/>
      <c r="C85" s="4">
        <f t="shared" si="15"/>
        <v>3283.47</v>
      </c>
      <c r="D85" s="29">
        <v>550</v>
      </c>
      <c r="E85" s="4">
        <v>11.25</v>
      </c>
      <c r="F85" t="s">
        <v>179</v>
      </c>
      <c r="G85" s="4">
        <f t="shared" si="14"/>
        <v>92.85</v>
      </c>
      <c r="H85" s="4"/>
      <c r="J85" s="4"/>
      <c r="K85" s="57" t="s">
        <v>312</v>
      </c>
      <c r="L85" s="55">
        <v>88.37</v>
      </c>
      <c r="M85" s="42">
        <f>(1002.994*3.2808)-100+88.37</f>
        <v>3278.9927152</v>
      </c>
      <c r="N85" s="4">
        <v>3277.92</v>
      </c>
    </row>
    <row r="86" spans="1:12" ht="12.75">
      <c r="A86" s="4"/>
      <c r="B86" s="4"/>
      <c r="C86" s="4">
        <f t="shared" si="15"/>
        <v>3284.0499999999997</v>
      </c>
      <c r="D86" s="29">
        <v>557</v>
      </c>
      <c r="E86" s="4">
        <v>10.67</v>
      </c>
      <c r="F86" t="s">
        <v>267</v>
      </c>
      <c r="G86" s="4">
        <f t="shared" si="14"/>
        <v>93.42999999999999</v>
      </c>
      <c r="H86" s="4"/>
      <c r="J86" s="4"/>
      <c r="K86" s="55"/>
      <c r="L86" s="55"/>
    </row>
    <row r="87" spans="1:14" ht="12.75">
      <c r="A87" s="4"/>
      <c r="B87" s="4"/>
      <c r="C87" s="4">
        <f t="shared" si="15"/>
        <v>3284.1</v>
      </c>
      <c r="D87" s="29">
        <v>560</v>
      </c>
      <c r="E87" s="4">
        <v>10.62</v>
      </c>
      <c r="F87" t="s">
        <v>227</v>
      </c>
      <c r="G87" s="4">
        <f t="shared" si="14"/>
        <v>93.47999999999999</v>
      </c>
      <c r="H87" s="4"/>
      <c r="M87" s="59"/>
      <c r="N87" s="59"/>
    </row>
    <row r="88" spans="1:14" ht="12.75">
      <c r="A88" s="4"/>
      <c r="B88" s="4"/>
      <c r="C88" s="4">
        <f t="shared" si="15"/>
        <v>3284.69</v>
      </c>
      <c r="D88" s="29">
        <v>568</v>
      </c>
      <c r="E88" s="4">
        <v>10.03</v>
      </c>
      <c r="F88" t="s">
        <v>227</v>
      </c>
      <c r="G88" s="4">
        <f t="shared" si="14"/>
        <v>94.07</v>
      </c>
      <c r="H88" s="4"/>
      <c r="M88" s="55"/>
      <c r="N88" s="55"/>
    </row>
    <row r="89" spans="1:8" ht="12.75">
      <c r="A89" s="4"/>
      <c r="B89" s="4"/>
      <c r="C89" s="4">
        <f t="shared" si="15"/>
        <v>3284.73</v>
      </c>
      <c r="D89" s="29">
        <v>575</v>
      </c>
      <c r="E89" s="4">
        <v>9.99</v>
      </c>
      <c r="F89" t="s">
        <v>162</v>
      </c>
      <c r="G89" s="4">
        <f t="shared" si="14"/>
        <v>94.11</v>
      </c>
      <c r="H89" s="4"/>
    </row>
    <row r="90" spans="1:8" ht="12.75">
      <c r="A90" s="4"/>
      <c r="B90" s="4"/>
      <c r="C90" s="4">
        <f t="shared" si="15"/>
        <v>3284.7799999999997</v>
      </c>
      <c r="D90" s="29">
        <v>585</v>
      </c>
      <c r="E90" s="4">
        <v>9.94</v>
      </c>
      <c r="F90" t="s">
        <v>20</v>
      </c>
      <c r="G90" s="4">
        <f t="shared" si="14"/>
        <v>94.16</v>
      </c>
      <c r="H90" s="4"/>
    </row>
    <row r="91" spans="1:8" ht="12.75">
      <c r="A91" s="4"/>
      <c r="B91" s="4"/>
      <c r="C91" s="4">
        <f t="shared" si="15"/>
        <v>3284.66</v>
      </c>
      <c r="D91" s="29">
        <v>595</v>
      </c>
      <c r="E91" s="4">
        <v>10.06</v>
      </c>
      <c r="F91" t="s">
        <v>20</v>
      </c>
      <c r="G91" s="4">
        <f t="shared" si="14"/>
        <v>94.03999999999999</v>
      </c>
      <c r="H91" s="4"/>
    </row>
    <row r="92" spans="1:8" ht="12.75">
      <c r="A92" s="4"/>
      <c r="B92" s="4"/>
      <c r="C92" s="4">
        <f t="shared" si="15"/>
        <v>3284.77</v>
      </c>
      <c r="D92" s="29">
        <v>605</v>
      </c>
      <c r="E92" s="4">
        <v>9.95</v>
      </c>
      <c r="F92" t="s">
        <v>20</v>
      </c>
      <c r="G92" s="4">
        <f t="shared" si="14"/>
        <v>94.14999999999999</v>
      </c>
      <c r="H92" s="4"/>
    </row>
    <row r="93" spans="1:8" ht="12.75">
      <c r="A93" s="4"/>
      <c r="B93" s="4"/>
      <c r="C93" s="4">
        <f t="shared" si="15"/>
        <v>3284.62</v>
      </c>
      <c r="D93" s="29">
        <v>615</v>
      </c>
      <c r="E93" s="4">
        <v>10.1</v>
      </c>
      <c r="F93" t="s">
        <v>20</v>
      </c>
      <c r="G93" s="4">
        <f t="shared" si="14"/>
        <v>94</v>
      </c>
      <c r="H93" s="4"/>
    </row>
    <row r="94" spans="1:8" ht="12.75">
      <c r="A94" s="4"/>
      <c r="B94" s="4"/>
      <c r="C94" s="4">
        <f t="shared" si="15"/>
        <v>3284.5099999999998</v>
      </c>
      <c r="D94" s="29">
        <v>625</v>
      </c>
      <c r="E94" s="4">
        <v>10.21</v>
      </c>
      <c r="F94" t="s">
        <v>20</v>
      </c>
      <c r="G94" s="4">
        <f t="shared" si="14"/>
        <v>93.88999999999999</v>
      </c>
      <c r="H94" s="4"/>
    </row>
    <row r="95" spans="1:8" ht="12.75">
      <c r="A95" s="4"/>
      <c r="B95" s="4"/>
      <c r="C95" s="4">
        <f t="shared" si="15"/>
        <v>3284.45</v>
      </c>
      <c r="D95" s="29">
        <v>633</v>
      </c>
      <c r="E95" s="4">
        <v>10.27</v>
      </c>
      <c r="F95" t="s">
        <v>262</v>
      </c>
      <c r="G95" s="4">
        <f t="shared" si="14"/>
        <v>93.83</v>
      </c>
      <c r="H95" s="4"/>
    </row>
    <row r="96" spans="1:8" ht="12.75">
      <c r="A96" s="4"/>
      <c r="B96" s="4"/>
      <c r="C96" s="4">
        <f t="shared" si="15"/>
        <v>3283.72</v>
      </c>
      <c r="D96" s="29">
        <v>640</v>
      </c>
      <c r="E96" s="4">
        <v>11</v>
      </c>
      <c r="F96" t="s">
        <v>263</v>
      </c>
      <c r="G96" s="4">
        <f t="shared" si="14"/>
        <v>93.1</v>
      </c>
      <c r="H96" s="4"/>
    </row>
    <row r="97" spans="1:8" ht="12.75">
      <c r="A97" s="4"/>
      <c r="B97" s="4"/>
      <c r="C97" s="4">
        <f t="shared" si="15"/>
        <v>3283.0299999999997</v>
      </c>
      <c r="D97" s="29">
        <v>645</v>
      </c>
      <c r="E97" s="4">
        <v>11.69</v>
      </c>
      <c r="F97" t="s">
        <v>266</v>
      </c>
      <c r="G97" s="4">
        <f t="shared" si="14"/>
        <v>92.41</v>
      </c>
      <c r="H97" s="4"/>
    </row>
    <row r="98" spans="1:8" ht="12.75">
      <c r="A98" s="4"/>
      <c r="B98" s="4"/>
      <c r="C98" s="4">
        <f t="shared" si="15"/>
        <v>3282.67</v>
      </c>
      <c r="D98" s="29">
        <v>650</v>
      </c>
      <c r="E98" s="4">
        <v>12.05</v>
      </c>
      <c r="F98" t="s">
        <v>181</v>
      </c>
      <c r="G98" s="4">
        <f t="shared" si="14"/>
        <v>92.05</v>
      </c>
      <c r="H98" s="4"/>
    </row>
    <row r="99" spans="1:8" ht="12.75">
      <c r="A99" s="4"/>
      <c r="B99" s="4"/>
      <c r="C99" s="4">
        <f t="shared" si="15"/>
        <v>3283.04</v>
      </c>
      <c r="D99" s="29">
        <v>658</v>
      </c>
      <c r="E99" s="4">
        <v>11.68</v>
      </c>
      <c r="F99" t="s">
        <v>267</v>
      </c>
      <c r="G99" s="4">
        <f t="shared" si="14"/>
        <v>92.41999999999999</v>
      </c>
      <c r="H99" s="4"/>
    </row>
    <row r="100" spans="1:8" ht="12.75">
      <c r="A100" s="4"/>
      <c r="B100" s="4"/>
      <c r="C100" s="4">
        <f t="shared" si="15"/>
        <v>3283.6</v>
      </c>
      <c r="D100" s="29">
        <v>670</v>
      </c>
      <c r="E100" s="4">
        <v>11.12</v>
      </c>
      <c r="F100" t="s">
        <v>162</v>
      </c>
      <c r="G100" s="4">
        <f t="shared" si="14"/>
        <v>92.97999999999999</v>
      </c>
      <c r="H100" s="4"/>
    </row>
    <row r="101" spans="1:8" ht="12.75">
      <c r="A101" s="4"/>
      <c r="B101" s="4"/>
      <c r="C101" s="4">
        <f t="shared" si="15"/>
        <v>3283.7799999999997</v>
      </c>
      <c r="D101" s="29">
        <v>680</v>
      </c>
      <c r="E101" s="4">
        <v>10.94</v>
      </c>
      <c r="F101" t="s">
        <v>20</v>
      </c>
      <c r="G101" s="4">
        <f t="shared" si="14"/>
        <v>93.16</v>
      </c>
      <c r="H101" s="4"/>
    </row>
    <row r="102" spans="1:8" ht="12.75">
      <c r="A102" s="4"/>
      <c r="B102" s="4"/>
      <c r="C102" s="4">
        <f t="shared" si="15"/>
        <v>3283.83</v>
      </c>
      <c r="D102" s="29">
        <v>688</v>
      </c>
      <c r="E102" s="4">
        <v>10.89</v>
      </c>
      <c r="F102" t="s">
        <v>262</v>
      </c>
      <c r="G102" s="4">
        <f t="shared" si="14"/>
        <v>93.21</v>
      </c>
      <c r="H102" s="4"/>
    </row>
    <row r="103" spans="1:8" ht="12.75">
      <c r="A103" s="4"/>
      <c r="B103" s="4"/>
      <c r="C103" s="4">
        <f t="shared" si="15"/>
        <v>3283.19</v>
      </c>
      <c r="D103" s="29">
        <v>695</v>
      </c>
      <c r="E103" s="4">
        <v>11.53</v>
      </c>
      <c r="F103" t="s">
        <v>263</v>
      </c>
      <c r="G103" s="4">
        <f t="shared" si="14"/>
        <v>92.57</v>
      </c>
      <c r="H103" s="4"/>
    </row>
    <row r="104" spans="1:8" ht="12.75">
      <c r="A104" s="4"/>
      <c r="B104" s="4"/>
      <c r="C104" s="4">
        <f t="shared" si="15"/>
        <v>3282.66</v>
      </c>
      <c r="D104" s="29">
        <v>699</v>
      </c>
      <c r="E104" s="4">
        <v>12.06</v>
      </c>
      <c r="F104" t="s">
        <v>266</v>
      </c>
      <c r="G104" s="4">
        <f t="shared" si="14"/>
        <v>92.03999999999999</v>
      </c>
      <c r="H104" s="4"/>
    </row>
    <row r="105" spans="1:8" ht="12.75">
      <c r="A105" s="4"/>
      <c r="B105" s="4"/>
      <c r="C105" s="4">
        <f t="shared" si="15"/>
        <v>3282.31</v>
      </c>
      <c r="D105" s="29">
        <v>704</v>
      </c>
      <c r="E105" s="4">
        <v>12.41</v>
      </c>
      <c r="F105" t="s">
        <v>183</v>
      </c>
      <c r="G105" s="4">
        <f t="shared" si="14"/>
        <v>91.69</v>
      </c>
      <c r="H105" s="4"/>
    </row>
    <row r="106" spans="1:8" ht="12.75">
      <c r="A106" s="4"/>
      <c r="B106" s="4"/>
      <c r="C106" s="4">
        <f t="shared" si="15"/>
        <v>3282.81</v>
      </c>
      <c r="D106" s="29">
        <v>715</v>
      </c>
      <c r="E106" s="4">
        <v>11.91</v>
      </c>
      <c r="F106" t="s">
        <v>267</v>
      </c>
      <c r="G106" s="4">
        <f t="shared" si="14"/>
        <v>92.19</v>
      </c>
      <c r="H106" s="4"/>
    </row>
    <row r="107" spans="1:10" ht="12.75">
      <c r="A107" s="4"/>
      <c r="B107" s="4"/>
      <c r="C107" s="4">
        <f t="shared" si="15"/>
        <v>3283.12</v>
      </c>
      <c r="D107" s="29">
        <v>720</v>
      </c>
      <c r="E107" s="4">
        <v>11.6</v>
      </c>
      <c r="F107" t="s">
        <v>227</v>
      </c>
      <c r="G107" s="4">
        <f t="shared" si="14"/>
        <v>92.5</v>
      </c>
      <c r="H107" s="4"/>
      <c r="J107" s="29" t="s">
        <v>292</v>
      </c>
    </row>
    <row r="108" spans="1:10" ht="12.75">
      <c r="A108" s="4"/>
      <c r="B108" s="4"/>
      <c r="C108" s="4">
        <f t="shared" si="15"/>
        <v>3283.33</v>
      </c>
      <c r="D108" s="29">
        <v>728</v>
      </c>
      <c r="E108" s="4">
        <v>11.39</v>
      </c>
      <c r="F108" t="s">
        <v>162</v>
      </c>
      <c r="G108" s="4">
        <f t="shared" si="14"/>
        <v>92.71</v>
      </c>
      <c r="H108" s="4"/>
      <c r="J108" s="203">
        <f>+(G12-G108)/D108</f>
        <v>0.009175824175824186</v>
      </c>
    </row>
    <row r="109" spans="1:8" ht="12.75">
      <c r="A109" s="4">
        <v>101.35</v>
      </c>
      <c r="B109" s="4">
        <v>1.35</v>
      </c>
      <c r="C109" s="4">
        <f t="shared" si="15"/>
        <v>3283.42</v>
      </c>
      <c r="D109" s="29">
        <v>745</v>
      </c>
      <c r="E109" s="4">
        <v>8.55</v>
      </c>
      <c r="F109" t="s">
        <v>20</v>
      </c>
      <c r="G109" s="4">
        <f>+$A$109-E109</f>
        <v>92.8</v>
      </c>
      <c r="H109" s="4"/>
    </row>
    <row r="110" spans="1:8" ht="12.75">
      <c r="A110" s="4" t="s">
        <v>296</v>
      </c>
      <c r="B110" s="4"/>
      <c r="C110" s="4">
        <f t="shared" si="15"/>
        <v>3282.74</v>
      </c>
      <c r="D110" s="29">
        <v>767</v>
      </c>
      <c r="E110" s="4">
        <v>9.23</v>
      </c>
      <c r="F110" t="s">
        <v>262</v>
      </c>
      <c r="G110" s="4">
        <f aca="true" t="shared" si="16" ref="G110:G158">+$A$109-E110</f>
        <v>92.11999999999999</v>
      </c>
      <c r="H110" s="4"/>
    </row>
    <row r="111" spans="1:8" ht="12.75">
      <c r="A111" s="4"/>
      <c r="B111" s="4"/>
      <c r="C111" s="4">
        <f t="shared" si="15"/>
        <v>3281.8599999999997</v>
      </c>
      <c r="D111" s="29">
        <v>777</v>
      </c>
      <c r="E111" s="4">
        <v>10.11</v>
      </c>
      <c r="F111" t="s">
        <v>263</v>
      </c>
      <c r="G111" s="4">
        <f t="shared" si="16"/>
        <v>91.24</v>
      </c>
      <c r="H111" s="4"/>
    </row>
    <row r="112" spans="1:8" ht="12.75">
      <c r="A112" s="4"/>
      <c r="B112" s="4"/>
      <c r="C112" s="4">
        <f t="shared" si="15"/>
        <v>3281.6</v>
      </c>
      <c r="D112" s="29">
        <v>783</v>
      </c>
      <c r="E112" s="4">
        <v>10.37</v>
      </c>
      <c r="F112" t="s">
        <v>228</v>
      </c>
      <c r="G112" s="4">
        <f t="shared" si="16"/>
        <v>90.97999999999999</v>
      </c>
      <c r="H112" s="4"/>
    </row>
    <row r="113" spans="1:8" ht="12.75">
      <c r="A113" s="4"/>
      <c r="B113" s="4"/>
      <c r="C113" s="4">
        <f t="shared" si="15"/>
        <v>3282.13</v>
      </c>
      <c r="D113" s="29">
        <v>790</v>
      </c>
      <c r="E113" s="4">
        <v>9.84</v>
      </c>
      <c r="F113" t="s">
        <v>227</v>
      </c>
      <c r="G113" s="4">
        <f t="shared" si="16"/>
        <v>91.50999999999999</v>
      </c>
      <c r="H113" s="4"/>
    </row>
    <row r="114" spans="1:8" ht="12.75">
      <c r="A114" s="4"/>
      <c r="B114" s="4"/>
      <c r="C114" s="4">
        <f t="shared" si="15"/>
        <v>3282.5299999999997</v>
      </c>
      <c r="D114" s="29">
        <v>799</v>
      </c>
      <c r="E114" s="4">
        <v>9.44</v>
      </c>
      <c r="F114" t="s">
        <v>162</v>
      </c>
      <c r="G114" s="4">
        <f t="shared" si="16"/>
        <v>91.91</v>
      </c>
      <c r="H114" s="4"/>
    </row>
    <row r="115" spans="1:8" ht="12.75">
      <c r="A115" s="4"/>
      <c r="B115" s="4"/>
      <c r="C115" s="4">
        <f t="shared" si="15"/>
        <v>3282.47</v>
      </c>
      <c r="D115" s="29">
        <v>821</v>
      </c>
      <c r="E115" s="4">
        <v>9.5</v>
      </c>
      <c r="F115" t="s">
        <v>20</v>
      </c>
      <c r="G115" s="4">
        <f t="shared" si="16"/>
        <v>91.85</v>
      </c>
      <c r="H115" s="4"/>
    </row>
    <row r="116" spans="1:8" ht="12.75">
      <c r="A116" s="4"/>
      <c r="B116" s="4"/>
      <c r="C116" s="4">
        <f t="shared" si="15"/>
        <v>3282.3399999999997</v>
      </c>
      <c r="D116" s="29">
        <v>840</v>
      </c>
      <c r="E116" s="4">
        <v>9.63</v>
      </c>
      <c r="F116" t="s">
        <v>262</v>
      </c>
      <c r="G116" s="4">
        <f t="shared" si="16"/>
        <v>91.72</v>
      </c>
      <c r="H116" s="4"/>
    </row>
    <row r="117" spans="1:8" ht="12.75">
      <c r="A117" s="4"/>
      <c r="B117" s="4"/>
      <c r="C117" s="4">
        <f t="shared" si="15"/>
        <v>3281.7799999999997</v>
      </c>
      <c r="D117" s="29">
        <v>847</v>
      </c>
      <c r="E117" s="4">
        <v>10.19</v>
      </c>
      <c r="F117" t="s">
        <v>263</v>
      </c>
      <c r="G117" s="4">
        <f t="shared" si="16"/>
        <v>91.16</v>
      </c>
      <c r="H117" s="4"/>
    </row>
    <row r="118" spans="1:8" ht="12.75">
      <c r="A118" s="4"/>
      <c r="B118" s="4"/>
      <c r="C118" s="4">
        <f t="shared" si="15"/>
        <v>3280.75</v>
      </c>
      <c r="D118" s="29">
        <v>860</v>
      </c>
      <c r="E118" s="4">
        <v>11.22</v>
      </c>
      <c r="F118" t="s">
        <v>189</v>
      </c>
      <c r="G118" s="4">
        <f t="shared" si="16"/>
        <v>90.13</v>
      </c>
      <c r="H118" s="4"/>
    </row>
    <row r="119" spans="1:8" ht="12.75">
      <c r="A119" s="4"/>
      <c r="B119" s="4"/>
      <c r="C119" s="4">
        <f t="shared" si="15"/>
        <v>3281.3199999999997</v>
      </c>
      <c r="D119" s="29">
        <v>867</v>
      </c>
      <c r="E119" s="4">
        <v>10.65</v>
      </c>
      <c r="F119" t="s">
        <v>227</v>
      </c>
      <c r="G119" s="4">
        <f t="shared" si="16"/>
        <v>90.69999999999999</v>
      </c>
      <c r="H119" s="4"/>
    </row>
    <row r="120" spans="1:8" ht="12.75">
      <c r="A120" s="4"/>
      <c r="B120" s="4"/>
      <c r="C120" s="4">
        <f t="shared" si="15"/>
        <v>3281.69</v>
      </c>
      <c r="D120" s="29">
        <v>876</v>
      </c>
      <c r="E120" s="4">
        <v>10.28</v>
      </c>
      <c r="F120" t="s">
        <v>162</v>
      </c>
      <c r="G120" s="4">
        <f t="shared" si="16"/>
        <v>91.07</v>
      </c>
      <c r="H120" s="4"/>
    </row>
    <row r="121" spans="1:8" ht="12.75">
      <c r="A121" s="4"/>
      <c r="B121" s="4"/>
      <c r="C121" s="4">
        <f t="shared" si="15"/>
        <v>3281.7799999999997</v>
      </c>
      <c r="D121" s="29">
        <v>884</v>
      </c>
      <c r="E121" s="4">
        <v>10.19</v>
      </c>
      <c r="F121" t="s">
        <v>20</v>
      </c>
      <c r="G121" s="4">
        <f t="shared" si="16"/>
        <v>91.16</v>
      </c>
      <c r="H121" s="4"/>
    </row>
    <row r="122" spans="1:8" ht="12.75">
      <c r="A122" s="4"/>
      <c r="B122" s="4"/>
      <c r="C122" s="4">
        <f t="shared" si="15"/>
        <v>3281.2599999999998</v>
      </c>
      <c r="D122" s="29">
        <v>890</v>
      </c>
      <c r="E122" s="4">
        <v>10.71</v>
      </c>
      <c r="F122" t="s">
        <v>262</v>
      </c>
      <c r="G122" s="4">
        <f t="shared" si="16"/>
        <v>90.63999999999999</v>
      </c>
      <c r="H122" s="4"/>
    </row>
    <row r="123" spans="1:8" ht="12.75">
      <c r="A123" s="4"/>
      <c r="B123" s="4"/>
      <c r="C123" s="4">
        <f t="shared" si="15"/>
        <v>3280.98</v>
      </c>
      <c r="D123" s="29">
        <v>893</v>
      </c>
      <c r="E123" s="4">
        <v>10.99</v>
      </c>
      <c r="F123" t="s">
        <v>263</v>
      </c>
      <c r="G123" s="4">
        <f t="shared" si="16"/>
        <v>90.36</v>
      </c>
      <c r="H123" s="4"/>
    </row>
    <row r="124" spans="1:8" ht="12.75">
      <c r="A124" s="4"/>
      <c r="B124" s="4"/>
      <c r="C124" s="4">
        <f t="shared" si="15"/>
        <v>3280.62</v>
      </c>
      <c r="D124" s="29">
        <v>900</v>
      </c>
      <c r="E124" s="4">
        <v>11.35</v>
      </c>
      <c r="F124" t="s">
        <v>191</v>
      </c>
      <c r="G124" s="4">
        <f t="shared" si="16"/>
        <v>90</v>
      </c>
      <c r="H124" s="4"/>
    </row>
    <row r="125" spans="1:8" ht="12.75">
      <c r="A125" s="4"/>
      <c r="B125" s="4"/>
      <c r="C125" s="4">
        <f t="shared" si="15"/>
        <v>3281.15</v>
      </c>
      <c r="D125" s="29">
        <v>910</v>
      </c>
      <c r="E125" s="4">
        <v>10.82</v>
      </c>
      <c r="F125" t="s">
        <v>227</v>
      </c>
      <c r="G125" s="4">
        <f t="shared" si="16"/>
        <v>90.53</v>
      </c>
      <c r="H125" s="4"/>
    </row>
    <row r="126" spans="1:8" ht="12.75">
      <c r="A126" s="4"/>
      <c r="B126" s="4"/>
      <c r="C126" s="4">
        <f t="shared" si="15"/>
        <v>3281.71</v>
      </c>
      <c r="D126" s="29">
        <v>917</v>
      </c>
      <c r="E126" s="4">
        <v>10.26</v>
      </c>
      <c r="F126" t="s">
        <v>162</v>
      </c>
      <c r="G126" s="4">
        <f t="shared" si="16"/>
        <v>91.08999999999999</v>
      </c>
      <c r="H126" s="4"/>
    </row>
    <row r="127" spans="1:8" ht="12.75">
      <c r="A127" s="4"/>
      <c r="B127" s="4"/>
      <c r="C127" s="4">
        <f t="shared" si="15"/>
        <v>3281.64</v>
      </c>
      <c r="D127" s="29">
        <v>927</v>
      </c>
      <c r="E127" s="4">
        <v>10.33</v>
      </c>
      <c r="F127" t="s">
        <v>20</v>
      </c>
      <c r="G127" s="4">
        <f t="shared" si="16"/>
        <v>91.02</v>
      </c>
      <c r="H127" s="4"/>
    </row>
    <row r="128" spans="1:8" ht="12.75">
      <c r="A128" s="4"/>
      <c r="B128" s="4"/>
      <c r="C128" s="4">
        <f t="shared" si="15"/>
        <v>3281.56</v>
      </c>
      <c r="D128" s="29">
        <v>933</v>
      </c>
      <c r="E128" s="4">
        <v>10.41</v>
      </c>
      <c r="F128" t="s">
        <v>262</v>
      </c>
      <c r="G128" s="4">
        <f t="shared" si="16"/>
        <v>90.94</v>
      </c>
      <c r="H128" s="4"/>
    </row>
    <row r="129" spans="1:8" ht="12.75">
      <c r="A129" s="4"/>
      <c r="B129" s="4"/>
      <c r="C129" s="4">
        <f t="shared" si="15"/>
        <v>3280.7</v>
      </c>
      <c r="D129" s="29">
        <v>944</v>
      </c>
      <c r="E129" s="4">
        <v>11.27</v>
      </c>
      <c r="F129" t="s">
        <v>263</v>
      </c>
      <c r="G129" s="4">
        <f t="shared" si="16"/>
        <v>90.08</v>
      </c>
      <c r="H129" s="4"/>
    </row>
    <row r="130" spans="1:8" ht="12.75">
      <c r="A130" s="4"/>
      <c r="B130" s="4"/>
      <c r="C130" s="4">
        <f t="shared" si="15"/>
        <v>3280.13</v>
      </c>
      <c r="D130" s="29">
        <v>952</v>
      </c>
      <c r="E130" s="4">
        <v>11.84</v>
      </c>
      <c r="F130" t="s">
        <v>192</v>
      </c>
      <c r="G130" s="4">
        <f t="shared" si="16"/>
        <v>89.50999999999999</v>
      </c>
      <c r="H130" s="4"/>
    </row>
    <row r="131" spans="1:8" ht="12.75">
      <c r="A131" s="4"/>
      <c r="B131" s="4"/>
      <c r="C131" s="4">
        <f t="shared" si="15"/>
        <v>3280.83</v>
      </c>
      <c r="D131" s="29">
        <v>959</v>
      </c>
      <c r="E131" s="4">
        <v>11.14</v>
      </c>
      <c r="F131" t="s">
        <v>227</v>
      </c>
      <c r="G131" s="4">
        <f t="shared" si="16"/>
        <v>90.21</v>
      </c>
      <c r="H131" s="4"/>
    </row>
    <row r="132" spans="1:8" ht="12.75">
      <c r="A132" s="4"/>
      <c r="B132" s="4"/>
      <c r="C132" s="4">
        <f t="shared" si="15"/>
        <v>3280.92</v>
      </c>
      <c r="D132" s="29">
        <v>973</v>
      </c>
      <c r="E132" s="4">
        <v>11.05</v>
      </c>
      <c r="F132" t="s">
        <v>162</v>
      </c>
      <c r="G132" s="4">
        <f t="shared" si="16"/>
        <v>90.3</v>
      </c>
      <c r="H132" s="4"/>
    </row>
    <row r="133" spans="1:8" ht="12.75">
      <c r="A133" s="4"/>
      <c r="B133" s="4"/>
      <c r="C133" s="4">
        <f t="shared" si="15"/>
        <v>3280.88</v>
      </c>
      <c r="D133" s="29">
        <v>988</v>
      </c>
      <c r="E133" s="4">
        <v>11.09</v>
      </c>
      <c r="F133" t="s">
        <v>20</v>
      </c>
      <c r="G133" s="4">
        <f t="shared" si="16"/>
        <v>90.25999999999999</v>
      </c>
      <c r="H133" s="4"/>
    </row>
    <row r="134" spans="1:8" ht="12.75">
      <c r="A134" s="4"/>
      <c r="B134" s="4"/>
      <c r="C134" s="4">
        <f t="shared" si="15"/>
        <v>3280.63</v>
      </c>
      <c r="D134" s="29">
        <v>1000</v>
      </c>
      <c r="E134" s="4">
        <v>11.34</v>
      </c>
      <c r="F134" t="s">
        <v>20</v>
      </c>
      <c r="G134" s="4">
        <f t="shared" si="16"/>
        <v>90.00999999999999</v>
      </c>
      <c r="H134" s="4"/>
    </row>
    <row r="135" spans="1:8" ht="12.75">
      <c r="A135" s="4"/>
      <c r="B135" s="4"/>
      <c r="C135" s="4">
        <f t="shared" si="15"/>
        <v>3280.56</v>
      </c>
      <c r="D135" s="29">
        <v>1007</v>
      </c>
      <c r="E135" s="4">
        <v>11.41</v>
      </c>
      <c r="F135" t="s">
        <v>262</v>
      </c>
      <c r="G135" s="4">
        <f t="shared" si="16"/>
        <v>89.94</v>
      </c>
      <c r="H135" s="4"/>
    </row>
    <row r="136" spans="1:8" ht="12.75">
      <c r="A136" s="4"/>
      <c r="B136" s="4"/>
      <c r="C136" s="4">
        <f t="shared" si="15"/>
        <v>3280.1</v>
      </c>
      <c r="D136" s="29">
        <v>1013</v>
      </c>
      <c r="E136" s="4">
        <v>11.87</v>
      </c>
      <c r="F136" t="s">
        <v>263</v>
      </c>
      <c r="G136" s="4">
        <f t="shared" si="16"/>
        <v>89.47999999999999</v>
      </c>
      <c r="H136" s="4"/>
    </row>
    <row r="137" spans="1:8" ht="12.75">
      <c r="A137" s="4"/>
      <c r="B137" s="4"/>
      <c r="C137" s="4">
        <f t="shared" si="15"/>
        <v>3279.24</v>
      </c>
      <c r="D137" s="29">
        <v>1022</v>
      </c>
      <c r="E137" s="4">
        <v>12.73</v>
      </c>
      <c r="F137" t="s">
        <v>193</v>
      </c>
      <c r="G137" s="4">
        <f t="shared" si="16"/>
        <v>88.61999999999999</v>
      </c>
      <c r="H137" s="4"/>
    </row>
    <row r="138" spans="1:8" ht="12.75">
      <c r="A138" s="4"/>
      <c r="B138" s="4"/>
      <c r="C138" s="4">
        <f t="shared" si="15"/>
        <v>3279.94</v>
      </c>
      <c r="D138" s="29">
        <v>1032</v>
      </c>
      <c r="E138" s="4">
        <v>12.03</v>
      </c>
      <c r="F138" t="s">
        <v>227</v>
      </c>
      <c r="G138" s="4">
        <f t="shared" si="16"/>
        <v>89.32</v>
      </c>
      <c r="H138" s="4"/>
    </row>
    <row r="139" spans="1:8" ht="12.75">
      <c r="A139" s="4"/>
      <c r="B139" s="4"/>
      <c r="C139" s="4">
        <f t="shared" si="15"/>
        <v>3280.0499999999997</v>
      </c>
      <c r="D139" s="29">
        <v>1045</v>
      </c>
      <c r="E139" s="4">
        <v>11.92</v>
      </c>
      <c r="F139" t="s">
        <v>227</v>
      </c>
      <c r="G139" s="4">
        <f t="shared" si="16"/>
        <v>89.42999999999999</v>
      </c>
      <c r="H139" s="4"/>
    </row>
    <row r="140" spans="1:8" ht="12.75">
      <c r="A140" s="4"/>
      <c r="B140" s="4"/>
      <c r="C140" s="4">
        <f t="shared" si="15"/>
        <v>3280.29</v>
      </c>
      <c r="D140" s="29">
        <v>1054</v>
      </c>
      <c r="E140" s="4">
        <v>11.68</v>
      </c>
      <c r="F140" t="s">
        <v>162</v>
      </c>
      <c r="G140" s="4">
        <f t="shared" si="16"/>
        <v>89.66999999999999</v>
      </c>
      <c r="H140" s="4"/>
    </row>
    <row r="141" spans="1:8" ht="12.75">
      <c r="A141" s="4"/>
      <c r="B141" s="4"/>
      <c r="C141" s="4">
        <f aca="true" t="shared" si="17" ref="C141:C165">3290.62-100+G141</f>
        <v>3280.0499999999997</v>
      </c>
      <c r="D141" s="29">
        <v>1070</v>
      </c>
      <c r="E141" s="4">
        <v>11.92</v>
      </c>
      <c r="F141" t="s">
        <v>20</v>
      </c>
      <c r="G141" s="4">
        <f t="shared" si="16"/>
        <v>89.42999999999999</v>
      </c>
      <c r="H141" s="4"/>
    </row>
    <row r="142" spans="1:8" ht="12.75">
      <c r="A142" s="4"/>
      <c r="B142" s="4"/>
      <c r="C142" s="4">
        <f t="shared" si="17"/>
        <v>3280.08</v>
      </c>
      <c r="D142" s="29">
        <v>1084</v>
      </c>
      <c r="E142" s="4">
        <v>11.89</v>
      </c>
      <c r="F142" t="s">
        <v>262</v>
      </c>
      <c r="G142" s="4">
        <f t="shared" si="16"/>
        <v>89.46</v>
      </c>
      <c r="H142" s="4"/>
    </row>
    <row r="143" spans="1:8" ht="12.75">
      <c r="A143" s="4"/>
      <c r="B143" s="4"/>
      <c r="C143" s="4">
        <f t="shared" si="17"/>
        <v>3279.58</v>
      </c>
      <c r="D143" s="29">
        <v>1093</v>
      </c>
      <c r="E143" s="4">
        <v>12.39</v>
      </c>
      <c r="F143" t="s">
        <v>263</v>
      </c>
      <c r="G143" s="4">
        <f t="shared" si="16"/>
        <v>88.96</v>
      </c>
      <c r="H143" s="4"/>
    </row>
    <row r="144" spans="1:8" ht="12.75">
      <c r="A144" s="4"/>
      <c r="B144" s="4"/>
      <c r="C144" s="4">
        <f t="shared" si="17"/>
        <v>3278.2599999999998</v>
      </c>
      <c r="D144" s="29">
        <v>1100</v>
      </c>
      <c r="E144" s="4">
        <v>13.71</v>
      </c>
      <c r="F144" t="s">
        <v>194</v>
      </c>
      <c r="G144" s="4">
        <f t="shared" si="16"/>
        <v>87.63999999999999</v>
      </c>
      <c r="H144" s="4"/>
    </row>
    <row r="145" spans="1:8" ht="12.75">
      <c r="A145" s="4"/>
      <c r="B145" s="4"/>
      <c r="C145" s="4">
        <f t="shared" si="17"/>
        <v>3278.8599999999997</v>
      </c>
      <c r="D145" s="29">
        <v>1108</v>
      </c>
      <c r="E145" s="4">
        <v>13.11</v>
      </c>
      <c r="F145" t="s">
        <v>227</v>
      </c>
      <c r="G145" s="4">
        <f t="shared" si="16"/>
        <v>88.24</v>
      </c>
      <c r="H145" s="4"/>
    </row>
    <row r="146" spans="1:8" ht="12.75">
      <c r="A146" s="4"/>
      <c r="B146" s="4"/>
      <c r="C146" s="4">
        <f t="shared" si="17"/>
        <v>3278.87</v>
      </c>
      <c r="D146" s="29">
        <v>1121</v>
      </c>
      <c r="E146" s="4">
        <v>13.1</v>
      </c>
      <c r="F146" t="s">
        <v>227</v>
      </c>
      <c r="G146" s="4">
        <f t="shared" si="16"/>
        <v>88.25</v>
      </c>
      <c r="H146" s="4"/>
    </row>
    <row r="147" spans="1:8" ht="12.75">
      <c r="A147" s="4"/>
      <c r="B147" s="4"/>
      <c r="C147" s="4">
        <f t="shared" si="17"/>
        <v>3279.7</v>
      </c>
      <c r="D147" s="29">
        <v>1129</v>
      </c>
      <c r="E147" s="4">
        <v>12.27</v>
      </c>
      <c r="F147" t="s">
        <v>162</v>
      </c>
      <c r="G147" s="4">
        <f t="shared" si="16"/>
        <v>89.08</v>
      </c>
      <c r="H147" s="4"/>
    </row>
    <row r="148" spans="1:8" ht="12.75">
      <c r="A148" s="4"/>
      <c r="B148" s="4"/>
      <c r="C148" s="4">
        <f t="shared" si="17"/>
        <v>3279.1099999999997</v>
      </c>
      <c r="D148" s="29">
        <v>1143</v>
      </c>
      <c r="E148" s="4">
        <v>12.86</v>
      </c>
      <c r="F148" t="s">
        <v>302</v>
      </c>
      <c r="G148" s="4">
        <f t="shared" si="16"/>
        <v>88.49</v>
      </c>
      <c r="H148" s="4"/>
    </row>
    <row r="149" spans="1:8" ht="12.75">
      <c r="A149" s="4"/>
      <c r="B149" s="4"/>
      <c r="C149" s="4">
        <f t="shared" si="17"/>
        <v>3278.87</v>
      </c>
      <c r="D149" s="29">
        <v>1159</v>
      </c>
      <c r="E149" s="4">
        <v>13.1</v>
      </c>
      <c r="F149" t="s">
        <v>262</v>
      </c>
      <c r="G149" s="4">
        <f t="shared" si="16"/>
        <v>88.25</v>
      </c>
      <c r="H149" s="4"/>
    </row>
    <row r="150" spans="1:8" ht="12.75">
      <c r="A150" s="4"/>
      <c r="B150" s="4"/>
      <c r="C150" s="4">
        <f t="shared" si="17"/>
        <v>3277.95</v>
      </c>
      <c r="D150" s="29">
        <v>1166</v>
      </c>
      <c r="E150" s="4">
        <v>14.02</v>
      </c>
      <c r="F150" t="s">
        <v>19</v>
      </c>
      <c r="G150" s="4">
        <f t="shared" si="16"/>
        <v>87.33</v>
      </c>
      <c r="H150" s="4"/>
    </row>
    <row r="151" spans="1:8" ht="12.75">
      <c r="A151" s="4"/>
      <c r="B151" s="4"/>
      <c r="C151" s="4">
        <f t="shared" si="17"/>
        <v>3277.92</v>
      </c>
      <c r="D151" s="29">
        <v>1172</v>
      </c>
      <c r="E151" s="4">
        <v>14.05</v>
      </c>
      <c r="F151" t="s">
        <v>169</v>
      </c>
      <c r="G151" s="4">
        <f t="shared" si="16"/>
        <v>87.3</v>
      </c>
      <c r="H151" s="4"/>
    </row>
    <row r="152" spans="1:8" ht="12.75">
      <c r="A152" s="4"/>
      <c r="B152" s="4"/>
      <c r="C152" s="4">
        <f t="shared" si="17"/>
        <v>3278.77</v>
      </c>
      <c r="D152" s="29">
        <v>1180</v>
      </c>
      <c r="E152" s="4">
        <v>13.2</v>
      </c>
      <c r="F152" t="s">
        <v>301</v>
      </c>
      <c r="G152" s="4">
        <f t="shared" si="16"/>
        <v>88.14999999999999</v>
      </c>
      <c r="H152" s="4"/>
    </row>
    <row r="153" spans="1:8" ht="12.75">
      <c r="A153" s="4"/>
      <c r="B153" s="4"/>
      <c r="C153" s="4">
        <f t="shared" si="17"/>
        <v>3277.9</v>
      </c>
      <c r="D153" s="29">
        <v>1198</v>
      </c>
      <c r="E153" s="4">
        <v>14.07</v>
      </c>
      <c r="F153" t="s">
        <v>300</v>
      </c>
      <c r="G153" s="4">
        <f t="shared" si="16"/>
        <v>87.28</v>
      </c>
      <c r="H153" s="4"/>
    </row>
    <row r="154" spans="1:8" ht="12.75">
      <c r="A154" s="4"/>
      <c r="B154" s="4"/>
      <c r="C154" s="4">
        <f t="shared" si="17"/>
        <v>3278.04</v>
      </c>
      <c r="D154" s="29">
        <v>1211</v>
      </c>
      <c r="E154" s="4">
        <v>13.93</v>
      </c>
      <c r="F154" t="s">
        <v>299</v>
      </c>
      <c r="G154" s="4">
        <f t="shared" si="16"/>
        <v>87.41999999999999</v>
      </c>
      <c r="H154" s="4"/>
    </row>
    <row r="155" spans="1:8" ht="12.75">
      <c r="A155" s="4"/>
      <c r="B155" s="4"/>
      <c r="C155" s="4">
        <f t="shared" si="17"/>
        <v>3277.9</v>
      </c>
      <c r="D155" s="29">
        <v>1253</v>
      </c>
      <c r="E155" s="4">
        <v>14.07</v>
      </c>
      <c r="F155" t="s">
        <v>298</v>
      </c>
      <c r="G155" s="4">
        <f t="shared" si="16"/>
        <v>87.28</v>
      </c>
      <c r="H155" s="4"/>
    </row>
    <row r="156" spans="1:8" ht="12.75">
      <c r="A156" s="4"/>
      <c r="B156" s="4"/>
      <c r="C156" s="4">
        <f t="shared" si="17"/>
        <v>3277.8199999999997</v>
      </c>
      <c r="D156" s="29">
        <v>1272</v>
      </c>
      <c r="E156" s="4">
        <v>14.15</v>
      </c>
      <c r="F156" t="s">
        <v>227</v>
      </c>
      <c r="G156" s="4">
        <f t="shared" si="16"/>
        <v>87.19999999999999</v>
      </c>
      <c r="H156" s="4"/>
    </row>
    <row r="157" spans="1:8" ht="12.75">
      <c r="A157" s="4"/>
      <c r="B157" s="4"/>
      <c r="C157" s="4">
        <f t="shared" si="17"/>
        <v>3278.91</v>
      </c>
      <c r="D157" s="29">
        <v>1277</v>
      </c>
      <c r="E157" s="4">
        <v>13.06</v>
      </c>
      <c r="F157" t="s">
        <v>162</v>
      </c>
      <c r="G157" s="4">
        <f t="shared" si="16"/>
        <v>88.28999999999999</v>
      </c>
      <c r="H157" s="4"/>
    </row>
    <row r="158" spans="1:8" ht="12.75">
      <c r="A158" s="4"/>
      <c r="B158" s="4"/>
      <c r="C158" s="4">
        <f t="shared" si="17"/>
        <v>3278.33</v>
      </c>
      <c r="D158" s="29">
        <v>1289</v>
      </c>
      <c r="E158" s="4">
        <v>13.64</v>
      </c>
      <c r="F158" t="s">
        <v>297</v>
      </c>
      <c r="G158" s="4">
        <f t="shared" si="16"/>
        <v>87.71</v>
      </c>
      <c r="H158" s="4"/>
    </row>
    <row r="159" spans="1:3" ht="12.75">
      <c r="A159" s="4"/>
      <c r="B159" s="4"/>
      <c r="C159" s="4"/>
    </row>
    <row r="160" spans="1:10" ht="12.75">
      <c r="A160" s="4">
        <v>101.48</v>
      </c>
      <c r="B160" s="4">
        <v>1.48</v>
      </c>
      <c r="C160" s="4">
        <f t="shared" si="17"/>
        <v>3283.2799999999997</v>
      </c>
      <c r="D160" s="29">
        <v>1211</v>
      </c>
      <c r="E160" s="4">
        <v>8.82</v>
      </c>
      <c r="F160" t="s">
        <v>303</v>
      </c>
      <c r="G160" s="4">
        <f aca="true" t="shared" si="18" ref="G160:G165">+$A$160-E160</f>
        <v>92.66</v>
      </c>
      <c r="I160" s="29" t="s">
        <v>295</v>
      </c>
      <c r="J160" s="203">
        <f>(G12-G158)/D158</f>
        <v>0.009061287820015522</v>
      </c>
    </row>
    <row r="161" spans="1:7" ht="12.75">
      <c r="A161" s="4"/>
      <c r="B161" s="4"/>
      <c r="C161" s="4">
        <f t="shared" si="17"/>
        <v>3277.92</v>
      </c>
      <c r="D161" s="29">
        <v>1211</v>
      </c>
      <c r="E161" s="4">
        <v>14.18</v>
      </c>
      <c r="F161" t="s">
        <v>304</v>
      </c>
      <c r="G161" s="4">
        <f t="shared" si="18"/>
        <v>87.30000000000001</v>
      </c>
    </row>
    <row r="162" spans="1:7" ht="12.75">
      <c r="A162" s="4"/>
      <c r="B162" s="4"/>
      <c r="C162" s="4">
        <f t="shared" si="17"/>
        <v>3278.35</v>
      </c>
      <c r="D162" s="29">
        <v>1289</v>
      </c>
      <c r="E162" s="4">
        <v>13.75</v>
      </c>
      <c r="F162" t="s">
        <v>305</v>
      </c>
      <c r="G162" s="4">
        <f t="shared" si="18"/>
        <v>87.73</v>
      </c>
    </row>
    <row r="163" spans="1:7" ht="12.75">
      <c r="A163" s="4"/>
      <c r="B163" s="4"/>
      <c r="C163" s="4">
        <f t="shared" si="17"/>
        <v>3279.85</v>
      </c>
      <c r="E163" s="4">
        <v>12.25</v>
      </c>
      <c r="F163" t="s">
        <v>309</v>
      </c>
      <c r="G163" s="4">
        <f t="shared" si="18"/>
        <v>89.23</v>
      </c>
    </row>
    <row r="164" spans="1:7" ht="12.75">
      <c r="A164" s="4"/>
      <c r="B164" s="4"/>
      <c r="C164" s="4">
        <f t="shared" si="17"/>
        <v>3281</v>
      </c>
      <c r="E164" s="4">
        <v>11.1</v>
      </c>
      <c r="F164" t="s">
        <v>307</v>
      </c>
      <c r="G164" s="4">
        <f t="shared" si="18"/>
        <v>90.38000000000001</v>
      </c>
    </row>
    <row r="165" spans="1:7" ht="12.75">
      <c r="A165" s="4"/>
      <c r="B165" s="4"/>
      <c r="C165" s="4">
        <f t="shared" si="17"/>
        <v>3279.72</v>
      </c>
      <c r="E165" s="4">
        <v>12.38</v>
      </c>
      <c r="F165" t="s">
        <v>308</v>
      </c>
      <c r="G165" s="4">
        <f t="shared" si="18"/>
        <v>89.10000000000001</v>
      </c>
    </row>
    <row r="166" spans="1:3" ht="12.75">
      <c r="A166" s="4"/>
      <c r="B166" s="4"/>
      <c r="C166" s="4"/>
    </row>
    <row r="167" spans="1:3" ht="12.75">
      <c r="A167" s="4"/>
      <c r="B167" s="4"/>
      <c r="C167" s="4"/>
    </row>
    <row r="168" spans="1:3" ht="12.75">
      <c r="A168" s="4"/>
      <c r="B168" s="4"/>
      <c r="C168" s="4"/>
    </row>
    <row r="169" ht="12.75">
      <c r="C169" s="4"/>
    </row>
    <row r="170" ht="12.75">
      <c r="C170" s="4"/>
    </row>
  </sheetData>
  <printOptions/>
  <pageMargins left="0.75" right="0.28" top="1" bottom="1" header="0.5" footer="0.5"/>
  <pageSetup fitToHeight="1" fitToWidth="1" horizontalDpi="300" verticalDpi="3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0.140625" style="29" customWidth="1"/>
    <col min="2" max="2" width="9.57421875" style="0" customWidth="1"/>
    <col min="3" max="3" width="8.140625" style="0" customWidth="1"/>
    <col min="4" max="4" width="12.00390625" style="4" customWidth="1"/>
    <col min="5" max="5" width="10.7109375" style="4" customWidth="1"/>
    <col min="6" max="6" width="9.421875" style="4" customWidth="1"/>
    <col min="7" max="7" width="8.421875" style="4" customWidth="1"/>
    <col min="8" max="9" width="8.7109375" style="1" customWidth="1"/>
    <col min="10" max="10" width="9.00390625" style="19" customWidth="1"/>
    <col min="11" max="11" width="9.28125" style="0" customWidth="1"/>
    <col min="12" max="12" width="10.28125" style="0" customWidth="1"/>
    <col min="13" max="13" width="13.421875" style="0" customWidth="1"/>
    <col min="14" max="14" width="7.8515625" style="68" customWidth="1"/>
    <col min="15" max="15" width="7.28125" style="76" customWidth="1"/>
    <col min="16" max="16384" width="10.28125" style="0" customWidth="1"/>
  </cols>
  <sheetData>
    <row r="1" spans="7:14" ht="12.75">
      <c r="G1" s="1"/>
      <c r="K1" s="19"/>
      <c r="L1" s="19"/>
      <c r="M1" s="1"/>
      <c r="N1" s="69"/>
    </row>
    <row r="2" spans="1:15" ht="18">
      <c r="A2" s="91" t="s">
        <v>16</v>
      </c>
      <c r="C2" s="92" t="s">
        <v>17</v>
      </c>
      <c r="D2" s="18"/>
      <c r="G2" s="1"/>
      <c r="K2" s="19"/>
      <c r="L2" s="19"/>
      <c r="M2" s="1"/>
      <c r="N2" s="69"/>
      <c r="O2" s="77"/>
    </row>
    <row r="3" spans="3:15" ht="12.75">
      <c r="C3" s="31" t="s">
        <v>47</v>
      </c>
      <c r="L3" s="1"/>
      <c r="N3" s="70"/>
      <c r="O3" s="78"/>
    </row>
    <row r="4" spans="1:15" ht="12.75">
      <c r="A4" s="43" t="s">
        <v>80</v>
      </c>
      <c r="B4" s="44">
        <v>36689</v>
      </c>
      <c r="L4" s="1"/>
      <c r="M4" s="19"/>
      <c r="N4" s="70"/>
      <c r="O4" s="79"/>
    </row>
    <row r="5" spans="2:15" ht="12.75">
      <c r="B5" s="16"/>
      <c r="C5" s="7" t="s">
        <v>2</v>
      </c>
      <c r="D5" s="21"/>
      <c r="E5" s="21" t="s">
        <v>81</v>
      </c>
      <c r="F5" s="21"/>
      <c r="I5" s="201" t="s">
        <v>156</v>
      </c>
      <c r="K5" s="4"/>
      <c r="N5" s="70"/>
      <c r="O5" s="78"/>
    </row>
    <row r="6" spans="1:16" ht="12.75">
      <c r="A6" s="32" t="s">
        <v>1</v>
      </c>
      <c r="B6" s="16" t="s">
        <v>4</v>
      </c>
      <c r="C6" s="17" t="s">
        <v>5</v>
      </c>
      <c r="D6" s="22" t="s">
        <v>6</v>
      </c>
      <c r="E6" s="21" t="s">
        <v>18</v>
      </c>
      <c r="F6" s="46" t="b">
        <v>1</v>
      </c>
      <c r="G6" s="51" t="s">
        <v>7</v>
      </c>
      <c r="H6" s="50" t="s">
        <v>7</v>
      </c>
      <c r="I6" s="202" t="s">
        <v>154</v>
      </c>
      <c r="J6" s="52" t="s">
        <v>53</v>
      </c>
      <c r="K6" s="19"/>
      <c r="L6" s="19"/>
      <c r="M6" s="1"/>
      <c r="N6" s="71" t="s">
        <v>19</v>
      </c>
      <c r="O6" s="77" t="s">
        <v>20</v>
      </c>
      <c r="P6" t="s">
        <v>141</v>
      </c>
    </row>
    <row r="7" spans="1:16" ht="12.75">
      <c r="A7" s="33" t="s">
        <v>8</v>
      </c>
      <c r="B7" s="11" t="s">
        <v>9</v>
      </c>
      <c r="C7" s="11" t="s">
        <v>10</v>
      </c>
      <c r="D7" s="23" t="s">
        <v>11</v>
      </c>
      <c r="E7" s="24" t="s">
        <v>14</v>
      </c>
      <c r="F7" s="24" t="s">
        <v>14</v>
      </c>
      <c r="G7" s="23" t="s">
        <v>12</v>
      </c>
      <c r="H7" s="24" t="s">
        <v>14</v>
      </c>
      <c r="I7" s="24" t="s">
        <v>155</v>
      </c>
      <c r="J7" s="24" t="s">
        <v>14</v>
      </c>
      <c r="K7" s="27" t="s">
        <v>13</v>
      </c>
      <c r="L7" s="12"/>
      <c r="M7" s="12"/>
      <c r="N7" s="72" t="s">
        <v>21</v>
      </c>
      <c r="O7" s="80" t="s">
        <v>21</v>
      </c>
      <c r="P7" s="62" t="s">
        <v>142</v>
      </c>
    </row>
    <row r="8" spans="1:11" ht="12.75">
      <c r="A8" s="37" t="s">
        <v>48</v>
      </c>
      <c r="B8">
        <v>15.75</v>
      </c>
      <c r="C8" s="4">
        <f>+B8+F8</f>
        <v>3295.2677191666667</v>
      </c>
      <c r="F8" s="4">
        <f>999.599*39.37/12</f>
        <v>3279.5177191666667</v>
      </c>
      <c r="K8" t="s">
        <v>51</v>
      </c>
    </row>
    <row r="9" spans="1:12" ht="12.75">
      <c r="A9" s="37" t="s">
        <v>49</v>
      </c>
      <c r="D9" s="4">
        <v>4.55</v>
      </c>
      <c r="E9" s="4">
        <v>100</v>
      </c>
      <c r="F9" s="4">
        <f>+C8-D9</f>
        <v>3290.7177191666665</v>
      </c>
      <c r="K9" s="38" t="s">
        <v>54</v>
      </c>
      <c r="L9" t="s">
        <v>52</v>
      </c>
    </row>
    <row r="10" ht="12.75">
      <c r="K10" t="s">
        <v>50</v>
      </c>
    </row>
    <row r="11" spans="7:8" ht="12.75">
      <c r="G11" s="96" t="s">
        <v>208</v>
      </c>
      <c r="H11" s="96">
        <f>+(0.54+0.57+0.42+0.74+0.25+0.4+0.84+0.73+0.6+0.45+0.61+0.69+0.42+0.58+0.41+0.73+0.61+0.6+0.52+0.5+0.6+0.3+0.42+0.54+0.95+0.35+0.71)/27</f>
        <v>0.5585185185185184</v>
      </c>
    </row>
    <row r="12" spans="1:11" ht="12.75">
      <c r="A12" s="30" t="s">
        <v>22</v>
      </c>
      <c r="B12">
        <v>7.41</v>
      </c>
      <c r="C12">
        <v>107.41</v>
      </c>
      <c r="D12" s="4" t="s">
        <v>23</v>
      </c>
      <c r="E12" s="13">
        <v>100</v>
      </c>
      <c r="F12" s="13"/>
      <c r="G12" s="97" t="s">
        <v>209</v>
      </c>
      <c r="H12" s="69">
        <f>+(1.38+1.6+1.19+1.2+1+1.23+0.9+1.1+1.2+1.15+1.09+0.84+1.41+1.23+1.18+1.9+1.62+2.21+2.21+1.74+0.95)/21</f>
        <v>1.349047619047619</v>
      </c>
      <c r="K12" s="14" t="s">
        <v>24</v>
      </c>
    </row>
    <row r="13" spans="1:11" ht="12.75">
      <c r="A13" s="29">
        <v>0</v>
      </c>
      <c r="D13" s="4">
        <v>6.15</v>
      </c>
      <c r="E13" s="4">
        <f aca="true" t="shared" si="0" ref="E13:E21">$C$12-D13</f>
        <v>101.25999999999999</v>
      </c>
      <c r="F13" s="4">
        <f>+$F$9+E13-100</f>
        <v>3291.9777191666662</v>
      </c>
      <c r="K13" t="s">
        <v>25</v>
      </c>
    </row>
    <row r="14" spans="1:11" ht="12.75">
      <c r="A14" s="29">
        <v>0</v>
      </c>
      <c r="D14" s="4">
        <v>8.53</v>
      </c>
      <c r="E14" s="4">
        <f t="shared" si="0"/>
        <v>98.88</v>
      </c>
      <c r="F14" s="4">
        <f aca="true" t="shared" si="1" ref="F14:F65">+$F$9+E14-100</f>
        <v>3289.5977191666666</v>
      </c>
      <c r="G14" s="4">
        <v>0.54</v>
      </c>
      <c r="H14" s="1">
        <f aca="true" t="shared" si="2" ref="H14:H23">E14+G14</f>
        <v>99.42</v>
      </c>
      <c r="J14" s="19">
        <v>101.27</v>
      </c>
      <c r="K14" t="s">
        <v>26</v>
      </c>
    </row>
    <row r="15" spans="1:11" ht="12.75">
      <c r="A15" s="29">
        <v>11</v>
      </c>
      <c r="D15" s="4">
        <v>9.32</v>
      </c>
      <c r="E15" s="4">
        <f t="shared" si="0"/>
        <v>98.09</v>
      </c>
      <c r="F15" s="4">
        <f t="shared" si="1"/>
        <v>3288.8077191666666</v>
      </c>
      <c r="G15" s="4">
        <v>1.38</v>
      </c>
      <c r="H15" s="1">
        <f t="shared" si="2"/>
        <v>99.47</v>
      </c>
      <c r="K15" t="s">
        <v>27</v>
      </c>
    </row>
    <row r="16" spans="1:14" ht="12.75">
      <c r="A16" s="29">
        <v>21</v>
      </c>
      <c r="D16" s="4">
        <v>8.46</v>
      </c>
      <c r="E16" s="4">
        <f t="shared" si="0"/>
        <v>98.94999999999999</v>
      </c>
      <c r="F16" s="4">
        <f t="shared" si="1"/>
        <v>3289.6677191666663</v>
      </c>
      <c r="G16" s="4">
        <v>0.57</v>
      </c>
      <c r="H16" s="1">
        <f t="shared" si="2"/>
        <v>99.51999999999998</v>
      </c>
      <c r="I16" s="63">
        <f>+(H16-H14)/21</f>
        <v>0.004761904761903814</v>
      </c>
      <c r="K16" t="s">
        <v>28</v>
      </c>
      <c r="N16" s="68">
        <f>A16-A14</f>
        <v>21</v>
      </c>
    </row>
    <row r="17" spans="1:16" ht="12.75">
      <c r="A17" s="29">
        <v>33</v>
      </c>
      <c r="D17" s="4">
        <v>8.11</v>
      </c>
      <c r="E17" s="4">
        <f t="shared" si="0"/>
        <v>99.3</v>
      </c>
      <c r="F17" s="4">
        <f t="shared" si="1"/>
        <v>3290.0177191666667</v>
      </c>
      <c r="G17" s="4">
        <v>0.42</v>
      </c>
      <c r="H17" s="1">
        <f t="shared" si="2"/>
        <v>99.72</v>
      </c>
      <c r="I17" s="64">
        <f>+(H17-H16)/12</f>
        <v>0.01666666666666809</v>
      </c>
      <c r="K17" t="s">
        <v>29</v>
      </c>
      <c r="O17" s="76">
        <f>A17-A16</f>
        <v>12</v>
      </c>
      <c r="P17">
        <v>33</v>
      </c>
    </row>
    <row r="18" spans="1:11" ht="12.75">
      <c r="A18" s="29">
        <v>48</v>
      </c>
      <c r="D18" s="4">
        <v>9.24</v>
      </c>
      <c r="E18" s="4">
        <f t="shared" si="0"/>
        <v>98.17</v>
      </c>
      <c r="F18" s="4">
        <f t="shared" si="1"/>
        <v>3288.8877191666666</v>
      </c>
      <c r="G18" s="4">
        <v>1.6</v>
      </c>
      <c r="H18" s="1">
        <f t="shared" si="2"/>
        <v>99.77</v>
      </c>
      <c r="K18" t="s">
        <v>27</v>
      </c>
    </row>
    <row r="19" spans="1:14" ht="12.75">
      <c r="A19" s="29">
        <v>55</v>
      </c>
      <c r="D19" s="4">
        <v>8.5</v>
      </c>
      <c r="E19" s="4">
        <f t="shared" si="0"/>
        <v>98.91</v>
      </c>
      <c r="F19" s="4">
        <f t="shared" si="1"/>
        <v>3289.6277191666663</v>
      </c>
      <c r="G19" s="4">
        <v>0.74</v>
      </c>
      <c r="H19" s="1">
        <f t="shared" si="2"/>
        <v>99.64999999999999</v>
      </c>
      <c r="I19" s="63">
        <f>+(H19-H17)/(A19-A17)</f>
        <v>-0.0031818181818185176</v>
      </c>
      <c r="K19" t="s">
        <v>28</v>
      </c>
      <c r="N19" s="68">
        <f>A19-A17</f>
        <v>22</v>
      </c>
    </row>
    <row r="20" spans="1:16" ht="12.75">
      <c r="A20" s="29">
        <v>76</v>
      </c>
      <c r="D20" s="4">
        <v>7.45</v>
      </c>
      <c r="E20" s="4">
        <f t="shared" si="0"/>
        <v>99.96</v>
      </c>
      <c r="F20" s="4">
        <f t="shared" si="1"/>
        <v>3290.6777191666665</v>
      </c>
      <c r="G20" s="4">
        <v>0.25</v>
      </c>
      <c r="H20" s="1">
        <f t="shared" si="2"/>
        <v>100.21</v>
      </c>
      <c r="I20" s="64">
        <f>+(H20-H19)/(A20-A19)</f>
        <v>0.026666666666666776</v>
      </c>
      <c r="K20" t="s">
        <v>30</v>
      </c>
      <c r="O20" s="76">
        <f>A20-A19</f>
        <v>21</v>
      </c>
      <c r="P20">
        <v>43</v>
      </c>
    </row>
    <row r="21" spans="1:14" ht="12.75">
      <c r="A21" s="29">
        <v>85</v>
      </c>
      <c r="D21" s="4">
        <v>8.15</v>
      </c>
      <c r="E21" s="4">
        <f t="shared" si="0"/>
        <v>99.25999999999999</v>
      </c>
      <c r="F21" s="4">
        <f t="shared" si="1"/>
        <v>3289.9777191666662</v>
      </c>
      <c r="G21" s="4">
        <v>1.19</v>
      </c>
      <c r="H21" s="1">
        <f t="shared" si="2"/>
        <v>100.44999999999999</v>
      </c>
      <c r="I21" s="63">
        <f>+(H21-H20)/(A21-A20)</f>
        <v>0.0266666666666661</v>
      </c>
      <c r="K21" t="s">
        <v>28</v>
      </c>
      <c r="N21" s="68">
        <f>A21-A20</f>
        <v>9</v>
      </c>
    </row>
    <row r="22" spans="1:16" ht="12.75">
      <c r="A22" s="29">
        <v>96</v>
      </c>
      <c r="B22">
        <v>5.48</v>
      </c>
      <c r="C22">
        <v>108.46</v>
      </c>
      <c r="D22" s="4">
        <v>8.36</v>
      </c>
      <c r="E22" s="4">
        <f>$C$72-D22</f>
        <v>100.10000000000001</v>
      </c>
      <c r="F22" s="4">
        <f t="shared" si="1"/>
        <v>3290.8177191666664</v>
      </c>
      <c r="G22" s="4">
        <v>0.4</v>
      </c>
      <c r="H22" s="1">
        <f t="shared" si="2"/>
        <v>100.50000000000001</v>
      </c>
      <c r="I22" s="64">
        <f>+(H22-H21)/(A22-A21)</f>
        <v>0.004545454545456871</v>
      </c>
      <c r="K22" t="s">
        <v>29</v>
      </c>
      <c r="O22" s="76">
        <f>A22-A21</f>
        <v>11</v>
      </c>
      <c r="P22">
        <v>20</v>
      </c>
    </row>
    <row r="23" spans="1:14" ht="12.75">
      <c r="A23" s="29">
        <v>104</v>
      </c>
      <c r="D23" s="4">
        <v>9.15</v>
      </c>
      <c r="E23" s="4">
        <f>$C$72-D23</f>
        <v>99.31</v>
      </c>
      <c r="F23" s="4">
        <f t="shared" si="1"/>
        <v>3290.0277191666664</v>
      </c>
      <c r="G23" s="4">
        <v>1.2</v>
      </c>
      <c r="H23" s="1">
        <f t="shared" si="2"/>
        <v>100.51</v>
      </c>
      <c r="I23" s="63">
        <f>+(H23-H22)/(A23-A22)</f>
        <v>0.0012499999999988631</v>
      </c>
      <c r="K23" t="s">
        <v>28</v>
      </c>
      <c r="N23" s="68">
        <f>A23-A22</f>
        <v>8</v>
      </c>
    </row>
    <row r="24" spans="1:16" ht="12.75">
      <c r="A24" s="29">
        <v>115</v>
      </c>
      <c r="E24" s="66">
        <v>99.65</v>
      </c>
      <c r="H24" s="67">
        <v>100.7</v>
      </c>
      <c r="I24" s="87">
        <f>+(H24-H23)/(A24-A23)</f>
        <v>0.017272727272727065</v>
      </c>
      <c r="K24" t="s">
        <v>31</v>
      </c>
      <c r="O24" s="76">
        <f>A24-A23</f>
        <v>11</v>
      </c>
      <c r="P24">
        <v>19</v>
      </c>
    </row>
    <row r="25" spans="1:11" ht="12.75">
      <c r="A25" s="29">
        <v>127</v>
      </c>
      <c r="D25" s="4">
        <v>8.56</v>
      </c>
      <c r="E25" s="4">
        <f aca="true" t="shared" si="3" ref="E25:E43">$C$72-D25</f>
        <v>99.9</v>
      </c>
      <c r="F25" s="4">
        <f t="shared" si="1"/>
        <v>3290.6177191666666</v>
      </c>
      <c r="G25" s="4">
        <v>1</v>
      </c>
      <c r="H25" s="1">
        <f aca="true" t="shared" si="4" ref="H25:H46">E25+G25</f>
        <v>100.9</v>
      </c>
      <c r="K25" t="s">
        <v>27</v>
      </c>
    </row>
    <row r="26" spans="1:14" ht="12.75">
      <c r="A26" s="29">
        <v>144</v>
      </c>
      <c r="D26" s="4">
        <v>8.5</v>
      </c>
      <c r="E26" s="4">
        <f t="shared" si="3"/>
        <v>99.96000000000001</v>
      </c>
      <c r="F26" s="4">
        <f t="shared" si="1"/>
        <v>3290.6777191666665</v>
      </c>
      <c r="G26" s="4">
        <v>0.84</v>
      </c>
      <c r="H26" s="1">
        <f t="shared" si="4"/>
        <v>100.80000000000001</v>
      </c>
      <c r="I26" s="86">
        <f>+(H26-H24)/(A26-A24)</f>
        <v>0.0034482758620692595</v>
      </c>
      <c r="K26" t="s">
        <v>28</v>
      </c>
      <c r="N26" s="68">
        <f>A26-A24</f>
        <v>29</v>
      </c>
    </row>
    <row r="27" spans="1:11" ht="12.75">
      <c r="A27" s="29">
        <v>165</v>
      </c>
      <c r="D27" s="4">
        <v>8.34</v>
      </c>
      <c r="E27" s="4">
        <f t="shared" si="3"/>
        <v>100.12</v>
      </c>
      <c r="F27" s="4">
        <f t="shared" si="1"/>
        <v>3290.8377191666664</v>
      </c>
      <c r="G27" s="4">
        <v>0.73</v>
      </c>
      <c r="H27" s="1">
        <f t="shared" si="4"/>
        <v>100.85000000000001</v>
      </c>
      <c r="K27" t="s">
        <v>32</v>
      </c>
    </row>
    <row r="28" spans="1:16" ht="12.75">
      <c r="A28" s="29">
        <v>175</v>
      </c>
      <c r="D28" s="4">
        <v>7.9</v>
      </c>
      <c r="E28" s="4">
        <f t="shared" si="3"/>
        <v>100.56</v>
      </c>
      <c r="F28" s="4">
        <f t="shared" si="1"/>
        <v>3291.2777191666664</v>
      </c>
      <c r="G28" s="4">
        <v>0.6</v>
      </c>
      <c r="H28" s="1">
        <f t="shared" si="4"/>
        <v>101.16</v>
      </c>
      <c r="I28" s="64">
        <f>+(H28-H26)/(A28-A26)</f>
        <v>0.011612903225805975</v>
      </c>
      <c r="K28" t="s">
        <v>29</v>
      </c>
      <c r="O28" s="76">
        <f>A28-A26</f>
        <v>31</v>
      </c>
      <c r="P28">
        <v>60</v>
      </c>
    </row>
    <row r="29" spans="1:14" ht="12.75">
      <c r="A29" s="29">
        <v>195</v>
      </c>
      <c r="D29" s="4">
        <v>8.51</v>
      </c>
      <c r="E29" s="4">
        <f t="shared" si="3"/>
        <v>99.95</v>
      </c>
      <c r="F29" s="4">
        <f t="shared" si="1"/>
        <v>3290.6677191666663</v>
      </c>
      <c r="G29" s="4">
        <v>1.23</v>
      </c>
      <c r="H29" s="1">
        <f t="shared" si="4"/>
        <v>101.18</v>
      </c>
      <c r="I29" s="63">
        <f>+(H29-H28)/(A29-A28)</f>
        <v>0.0010000000000005115</v>
      </c>
      <c r="K29" t="s">
        <v>28</v>
      </c>
      <c r="N29" s="68">
        <f>A29-A28</f>
        <v>20</v>
      </c>
    </row>
    <row r="30" spans="1:16" ht="12.75">
      <c r="A30" s="29">
        <v>226</v>
      </c>
      <c r="D30" s="4">
        <v>6.97</v>
      </c>
      <c r="E30" s="4">
        <f t="shared" si="3"/>
        <v>101.49000000000001</v>
      </c>
      <c r="F30" s="4">
        <f t="shared" si="1"/>
        <v>3292.2077191666667</v>
      </c>
      <c r="G30" s="4">
        <v>0.45</v>
      </c>
      <c r="H30" s="1">
        <f t="shared" si="4"/>
        <v>101.94000000000001</v>
      </c>
      <c r="I30" s="64">
        <f>+(H30-H29)/(A30-A29)</f>
        <v>0.02451612903225823</v>
      </c>
      <c r="K30" t="s">
        <v>29</v>
      </c>
      <c r="O30" s="76">
        <f>A30-A29</f>
        <v>31</v>
      </c>
      <c r="P30">
        <v>51</v>
      </c>
    </row>
    <row r="31" spans="1:14" ht="12.75">
      <c r="A31" s="29">
        <v>240</v>
      </c>
      <c r="D31" s="4">
        <v>7.46</v>
      </c>
      <c r="E31" s="4">
        <f t="shared" si="3"/>
        <v>101.00000000000001</v>
      </c>
      <c r="F31" s="4">
        <f t="shared" si="1"/>
        <v>3291.7177191666665</v>
      </c>
      <c r="G31" s="4">
        <v>0.9</v>
      </c>
      <c r="H31" s="1">
        <f t="shared" si="4"/>
        <v>101.90000000000002</v>
      </c>
      <c r="I31" s="63">
        <f>+(H31-H30)/(A31-A30)</f>
        <v>-0.0028571428571422886</v>
      </c>
      <c r="K31" t="s">
        <v>28</v>
      </c>
      <c r="N31" s="68">
        <f>A31-A30</f>
        <v>14</v>
      </c>
    </row>
    <row r="32" spans="1:16" ht="12.75">
      <c r="A32" s="29">
        <v>260</v>
      </c>
      <c r="D32" s="4">
        <v>6.52</v>
      </c>
      <c r="E32" s="4">
        <f t="shared" si="3"/>
        <v>101.94000000000001</v>
      </c>
      <c r="F32" s="4">
        <f t="shared" si="1"/>
        <v>3292.6577191666665</v>
      </c>
      <c r="G32" s="4">
        <v>0.61</v>
      </c>
      <c r="H32" s="1">
        <f t="shared" si="4"/>
        <v>102.55000000000001</v>
      </c>
      <c r="I32" s="64">
        <f>+(H32-H31)/(A32-A31)</f>
        <v>0.03249999999999957</v>
      </c>
      <c r="K32" t="s">
        <v>29</v>
      </c>
      <c r="O32" s="76">
        <f>A32-A31</f>
        <v>20</v>
      </c>
      <c r="P32">
        <v>34</v>
      </c>
    </row>
    <row r="33" spans="1:11" ht="12.75">
      <c r="A33" s="29">
        <v>283</v>
      </c>
      <c r="D33" s="4">
        <v>6.72</v>
      </c>
      <c r="E33" s="4">
        <f t="shared" si="3"/>
        <v>101.74000000000001</v>
      </c>
      <c r="F33" s="4">
        <f t="shared" si="1"/>
        <v>3292.4577191666667</v>
      </c>
      <c r="G33" s="4">
        <v>1.1</v>
      </c>
      <c r="H33" s="1">
        <f t="shared" si="4"/>
        <v>102.84</v>
      </c>
      <c r="K33" t="s">
        <v>27</v>
      </c>
    </row>
    <row r="34" spans="1:14" ht="12.75">
      <c r="A34" s="29">
        <v>293</v>
      </c>
      <c r="D34" s="4">
        <v>6.49</v>
      </c>
      <c r="E34" s="4">
        <f t="shared" si="3"/>
        <v>101.97000000000001</v>
      </c>
      <c r="F34" s="4">
        <f t="shared" si="1"/>
        <v>3292.6877191666663</v>
      </c>
      <c r="G34" s="4">
        <v>0.93</v>
      </c>
      <c r="H34" s="1">
        <f t="shared" si="4"/>
        <v>102.90000000000002</v>
      </c>
      <c r="I34" s="63">
        <f>+(H34-H32)/(A34-A32)</f>
        <v>0.010606060606060865</v>
      </c>
      <c r="K34" t="s">
        <v>28</v>
      </c>
      <c r="N34" s="68">
        <f>A34-A32</f>
        <v>33</v>
      </c>
    </row>
    <row r="35" spans="1:16" ht="12.75">
      <c r="A35" s="29">
        <v>303</v>
      </c>
      <c r="D35" s="4">
        <v>6.04</v>
      </c>
      <c r="E35" s="4">
        <f t="shared" si="3"/>
        <v>102.42</v>
      </c>
      <c r="F35" s="4">
        <f t="shared" si="1"/>
        <v>3293.1377191666666</v>
      </c>
      <c r="G35" s="4">
        <v>0.69</v>
      </c>
      <c r="H35" s="1">
        <f t="shared" si="4"/>
        <v>103.11</v>
      </c>
      <c r="I35" s="64">
        <f>+(H35-H34)/(A35-A34)</f>
        <v>0.020999999999997954</v>
      </c>
      <c r="K35" t="s">
        <v>29</v>
      </c>
      <c r="O35" s="76">
        <f>A35-A34</f>
        <v>10</v>
      </c>
      <c r="P35">
        <v>43</v>
      </c>
    </row>
    <row r="36" spans="1:11" ht="12.75">
      <c r="A36" s="29">
        <v>312</v>
      </c>
      <c r="D36" s="4">
        <v>6.29</v>
      </c>
      <c r="E36" s="4">
        <f t="shared" si="3"/>
        <v>102.17</v>
      </c>
      <c r="F36" s="4">
        <f t="shared" si="1"/>
        <v>3292.8877191666666</v>
      </c>
      <c r="G36" s="4">
        <v>1.2</v>
      </c>
      <c r="H36" s="1">
        <f t="shared" si="4"/>
        <v>103.37</v>
      </c>
      <c r="K36" t="s">
        <v>27</v>
      </c>
    </row>
    <row r="37" spans="1:14" ht="12.75">
      <c r="A37" s="29">
        <v>319</v>
      </c>
      <c r="D37" s="4">
        <v>5.67</v>
      </c>
      <c r="E37" s="4">
        <f t="shared" si="3"/>
        <v>102.79</v>
      </c>
      <c r="F37" s="4">
        <f t="shared" si="1"/>
        <v>3293.5077191666664</v>
      </c>
      <c r="G37" s="4">
        <v>0.42</v>
      </c>
      <c r="H37" s="1">
        <f t="shared" si="4"/>
        <v>103.21000000000001</v>
      </c>
      <c r="I37" s="63">
        <f>+(H37-H35)/(A37-A35)</f>
        <v>0.006250000000000533</v>
      </c>
      <c r="K37" t="s">
        <v>28</v>
      </c>
      <c r="N37" s="68">
        <f>A37-A35</f>
        <v>16</v>
      </c>
    </row>
    <row r="38" spans="1:11" ht="12.75">
      <c r="A38" s="29">
        <v>338</v>
      </c>
      <c r="D38" s="4">
        <v>5.62</v>
      </c>
      <c r="E38" s="4">
        <f t="shared" si="3"/>
        <v>102.84</v>
      </c>
      <c r="F38" s="4">
        <f t="shared" si="1"/>
        <v>3293.5577191666666</v>
      </c>
      <c r="G38" s="4">
        <v>0.58</v>
      </c>
      <c r="H38" s="1">
        <f t="shared" si="4"/>
        <v>103.42</v>
      </c>
      <c r="K38" t="s">
        <v>32</v>
      </c>
    </row>
    <row r="39" spans="1:11" ht="12.75">
      <c r="A39" s="29">
        <v>353</v>
      </c>
      <c r="D39" s="4">
        <v>5.43</v>
      </c>
      <c r="E39" s="4">
        <f t="shared" si="3"/>
        <v>103.03</v>
      </c>
      <c r="F39" s="4">
        <f t="shared" si="1"/>
        <v>3293.7477191666667</v>
      </c>
      <c r="G39" s="4">
        <v>0.41</v>
      </c>
      <c r="H39" s="1">
        <f t="shared" si="4"/>
        <v>103.44</v>
      </c>
      <c r="K39" t="s">
        <v>32</v>
      </c>
    </row>
    <row r="40" spans="1:16" ht="12.75">
      <c r="A40" s="29">
        <v>371</v>
      </c>
      <c r="D40" s="4">
        <v>5.68</v>
      </c>
      <c r="E40" s="4">
        <f t="shared" si="3"/>
        <v>102.78</v>
      </c>
      <c r="F40" s="4">
        <f t="shared" si="1"/>
        <v>3293.4977191666667</v>
      </c>
      <c r="G40" s="4">
        <v>0.73</v>
      </c>
      <c r="H40" s="1">
        <f t="shared" si="4"/>
        <v>103.51</v>
      </c>
      <c r="I40" s="64">
        <f>+(H40-H37)/(A40-A37)</f>
        <v>0.005769230769230715</v>
      </c>
      <c r="K40" t="s">
        <v>29</v>
      </c>
      <c r="O40" s="76">
        <f>A40-A37</f>
        <v>52</v>
      </c>
      <c r="P40">
        <v>68</v>
      </c>
    </row>
    <row r="41" spans="1:11" ht="12.75">
      <c r="A41" s="29">
        <v>387</v>
      </c>
      <c r="D41" s="4">
        <v>6.2</v>
      </c>
      <c r="E41" s="4">
        <f t="shared" si="3"/>
        <v>102.26</v>
      </c>
      <c r="F41" s="4">
        <f t="shared" si="1"/>
        <v>3292.9777191666667</v>
      </c>
      <c r="G41" s="4">
        <v>1.15</v>
      </c>
      <c r="H41" s="1">
        <f t="shared" si="4"/>
        <v>103.41000000000001</v>
      </c>
      <c r="K41" t="s">
        <v>27</v>
      </c>
    </row>
    <row r="42" spans="1:14" ht="12.75">
      <c r="A42" s="29">
        <v>391</v>
      </c>
      <c r="D42" s="4">
        <v>5.95</v>
      </c>
      <c r="E42" s="4">
        <f t="shared" si="3"/>
        <v>102.51</v>
      </c>
      <c r="F42" s="4">
        <f t="shared" si="1"/>
        <v>3293.2277191666667</v>
      </c>
      <c r="G42" s="4">
        <v>1.09</v>
      </c>
      <c r="H42" s="1">
        <f t="shared" si="4"/>
        <v>103.60000000000001</v>
      </c>
      <c r="I42" s="63">
        <f>+(H42-H40)/(A42-A40)</f>
        <v>0.0045000000000001705</v>
      </c>
      <c r="K42" t="s">
        <v>28</v>
      </c>
      <c r="N42" s="68">
        <f>A42-A40</f>
        <v>20</v>
      </c>
    </row>
    <row r="43" spans="1:16" ht="12.75">
      <c r="A43" s="29">
        <v>400</v>
      </c>
      <c r="B43">
        <v>6.29</v>
      </c>
      <c r="C43">
        <v>112.39</v>
      </c>
      <c r="D43" s="4">
        <v>5.5</v>
      </c>
      <c r="E43" s="4">
        <f t="shared" si="3"/>
        <v>102.96000000000001</v>
      </c>
      <c r="F43" s="4">
        <f t="shared" si="1"/>
        <v>3293.6777191666665</v>
      </c>
      <c r="G43" s="4">
        <v>0.61</v>
      </c>
      <c r="H43" s="1">
        <f t="shared" si="4"/>
        <v>103.57000000000001</v>
      </c>
      <c r="I43" s="64">
        <f>+(H43-H42)/(A43-A42)</f>
        <v>-0.0033333333333334597</v>
      </c>
      <c r="K43" t="s">
        <v>29</v>
      </c>
      <c r="O43" s="76">
        <f>A43-A42</f>
        <v>9</v>
      </c>
      <c r="P43">
        <v>29</v>
      </c>
    </row>
    <row r="44" spans="1:11" ht="12.75">
      <c r="A44" s="29">
        <v>405</v>
      </c>
      <c r="D44" s="4">
        <v>9.63</v>
      </c>
      <c r="E44" s="4">
        <f>$C$73-D44</f>
        <v>102.76000000000002</v>
      </c>
      <c r="F44" s="4">
        <f t="shared" si="1"/>
        <v>3293.4777191666667</v>
      </c>
      <c r="G44" s="4">
        <v>0.84</v>
      </c>
      <c r="H44" s="1">
        <f t="shared" si="4"/>
        <v>103.60000000000002</v>
      </c>
      <c r="K44" t="s">
        <v>19</v>
      </c>
    </row>
    <row r="45" spans="1:11" ht="12.75">
      <c r="A45" s="29">
        <v>416</v>
      </c>
      <c r="D45" s="4">
        <v>10.17</v>
      </c>
      <c r="E45" s="4">
        <f>$C$73-D45</f>
        <v>102.22000000000001</v>
      </c>
      <c r="F45" s="4">
        <f t="shared" si="1"/>
        <v>3292.9377191666663</v>
      </c>
      <c r="G45" s="4">
        <v>1.41</v>
      </c>
      <c r="H45" s="1">
        <f t="shared" si="4"/>
        <v>103.63000000000001</v>
      </c>
      <c r="K45" t="s">
        <v>27</v>
      </c>
    </row>
    <row r="46" spans="1:11" ht="12.75">
      <c r="A46" s="29">
        <v>430</v>
      </c>
      <c r="D46" s="4">
        <v>9.94</v>
      </c>
      <c r="E46" s="4">
        <f>$C$73-D46</f>
        <v>102.45000000000002</v>
      </c>
      <c r="F46" s="4">
        <f t="shared" si="1"/>
        <v>3293.1677191666663</v>
      </c>
      <c r="G46" s="4">
        <v>1.23</v>
      </c>
      <c r="H46" s="1">
        <f t="shared" si="4"/>
        <v>103.68000000000002</v>
      </c>
      <c r="K46" t="s">
        <v>33</v>
      </c>
    </row>
    <row r="47" spans="1:14" ht="12.75">
      <c r="A47" s="29">
        <v>446</v>
      </c>
      <c r="E47" s="66">
        <v>103</v>
      </c>
      <c r="H47" s="67">
        <v>103.7</v>
      </c>
      <c r="I47" s="86">
        <f>+(H47-H43)/(A47-A43)</f>
        <v>0.0028260869565216403</v>
      </c>
      <c r="K47" t="s">
        <v>34</v>
      </c>
      <c r="N47" s="68">
        <f>A47-A43</f>
        <v>46</v>
      </c>
    </row>
    <row r="48" spans="1:11" ht="12.75">
      <c r="A48" s="29">
        <v>451</v>
      </c>
      <c r="D48" s="4">
        <v>9.21</v>
      </c>
      <c r="E48" s="4">
        <f aca="true" t="shared" si="5" ref="E48:E65">$C$73-D48</f>
        <v>103.18</v>
      </c>
      <c r="F48" s="4">
        <f t="shared" si="1"/>
        <v>3293.8977191666663</v>
      </c>
      <c r="G48" s="4">
        <v>0.55</v>
      </c>
      <c r="H48" s="1">
        <f aca="true" t="shared" si="6" ref="H48:H65">E48+G48</f>
        <v>103.73</v>
      </c>
      <c r="K48" t="s">
        <v>35</v>
      </c>
    </row>
    <row r="49" spans="1:11" ht="12.75">
      <c r="A49" s="29">
        <v>461</v>
      </c>
      <c r="D49" s="4">
        <v>9.13</v>
      </c>
      <c r="E49" s="4">
        <f t="shared" si="5"/>
        <v>103.26000000000002</v>
      </c>
      <c r="F49" s="4">
        <f t="shared" si="1"/>
        <v>3293.9777191666667</v>
      </c>
      <c r="G49" s="4">
        <v>0.6</v>
      </c>
      <c r="H49" s="1">
        <f t="shared" si="6"/>
        <v>103.86000000000001</v>
      </c>
      <c r="K49" t="s">
        <v>32</v>
      </c>
    </row>
    <row r="50" spans="1:16" ht="12.75">
      <c r="A50" s="29">
        <v>468</v>
      </c>
      <c r="D50" s="4">
        <v>8.99</v>
      </c>
      <c r="E50" s="4">
        <f t="shared" si="5"/>
        <v>103.40000000000002</v>
      </c>
      <c r="F50" s="4">
        <f t="shared" si="1"/>
        <v>3294.1177191666666</v>
      </c>
      <c r="G50" s="4">
        <v>0.52</v>
      </c>
      <c r="H50" s="1">
        <f t="shared" si="6"/>
        <v>103.92000000000002</v>
      </c>
      <c r="I50" s="87">
        <f>+(H50-H47)/(A50-A47)</f>
        <v>0.010000000000000593</v>
      </c>
      <c r="K50" t="s">
        <v>29</v>
      </c>
      <c r="O50" s="76">
        <f>A50-A47</f>
        <v>22</v>
      </c>
      <c r="P50">
        <v>68</v>
      </c>
    </row>
    <row r="51" spans="1:11" ht="12.75">
      <c r="A51" s="29">
        <v>475</v>
      </c>
      <c r="D51" s="4">
        <v>9.44</v>
      </c>
      <c r="E51" s="4">
        <f t="shared" si="5"/>
        <v>102.95000000000002</v>
      </c>
      <c r="F51" s="4">
        <f t="shared" si="1"/>
        <v>3293.6677191666663</v>
      </c>
      <c r="G51" s="4">
        <v>1.18</v>
      </c>
      <c r="H51" s="1">
        <f t="shared" si="6"/>
        <v>104.13000000000002</v>
      </c>
      <c r="K51" t="s">
        <v>36</v>
      </c>
    </row>
    <row r="52" spans="1:11" ht="12.75">
      <c r="A52" s="29">
        <v>482</v>
      </c>
      <c r="D52" s="4">
        <v>9.98</v>
      </c>
      <c r="E52" s="4">
        <f t="shared" si="5"/>
        <v>102.41000000000001</v>
      </c>
      <c r="F52" s="4">
        <f t="shared" si="1"/>
        <v>3293.1277191666663</v>
      </c>
      <c r="G52" s="4">
        <v>1.9</v>
      </c>
      <c r="H52" s="1">
        <f t="shared" si="6"/>
        <v>104.31000000000002</v>
      </c>
      <c r="K52" t="s">
        <v>33</v>
      </c>
    </row>
    <row r="53" spans="1:14" ht="12.75">
      <c r="A53" s="29">
        <v>494</v>
      </c>
      <c r="D53" s="4">
        <v>8.9</v>
      </c>
      <c r="E53" s="4">
        <f t="shared" si="5"/>
        <v>103.49000000000001</v>
      </c>
      <c r="F53" s="4">
        <f t="shared" si="1"/>
        <v>3294.2077191666667</v>
      </c>
      <c r="G53" s="4">
        <v>0.9</v>
      </c>
      <c r="H53" s="1">
        <f t="shared" si="6"/>
        <v>104.39000000000001</v>
      </c>
      <c r="I53" s="63">
        <f>+(H53-H50)/(A53-A50)</f>
        <v>0.018076923076923032</v>
      </c>
      <c r="K53" t="s">
        <v>28</v>
      </c>
      <c r="N53" s="68">
        <f>A53-A50</f>
        <v>26</v>
      </c>
    </row>
    <row r="54" spans="1:11" ht="12.75">
      <c r="A54" s="29">
        <v>506</v>
      </c>
      <c r="D54" s="4">
        <v>8.22</v>
      </c>
      <c r="E54" s="4">
        <f t="shared" si="5"/>
        <v>104.17000000000002</v>
      </c>
      <c r="F54" s="4">
        <f t="shared" si="1"/>
        <v>3294.8877191666666</v>
      </c>
      <c r="G54" s="4">
        <v>0.5</v>
      </c>
      <c r="H54" s="1">
        <f t="shared" si="6"/>
        <v>104.67000000000002</v>
      </c>
      <c r="K54" t="s">
        <v>37</v>
      </c>
    </row>
    <row r="55" spans="1:11" ht="12.75">
      <c r="A55" s="29">
        <v>521</v>
      </c>
      <c r="D55" s="4">
        <v>7.97</v>
      </c>
      <c r="E55" s="4">
        <f t="shared" si="5"/>
        <v>104.42000000000002</v>
      </c>
      <c r="F55" s="4">
        <f t="shared" si="1"/>
        <v>3295.1377191666666</v>
      </c>
      <c r="G55" s="4">
        <v>0.6</v>
      </c>
      <c r="H55" s="1">
        <f t="shared" si="6"/>
        <v>105.02000000000001</v>
      </c>
      <c r="K55" t="s">
        <v>38</v>
      </c>
    </row>
    <row r="56" spans="1:11" ht="12.75">
      <c r="A56" s="29">
        <v>532</v>
      </c>
      <c r="D56" s="4">
        <v>7.51</v>
      </c>
      <c r="E56" s="4">
        <f t="shared" si="5"/>
        <v>104.88000000000001</v>
      </c>
      <c r="F56" s="4">
        <f t="shared" si="1"/>
        <v>3295.5977191666666</v>
      </c>
      <c r="G56" s="4">
        <v>0.3</v>
      </c>
      <c r="H56" s="1">
        <f t="shared" si="6"/>
        <v>105.18</v>
      </c>
      <c r="K56" t="s">
        <v>39</v>
      </c>
    </row>
    <row r="57" spans="1:11" ht="12.75">
      <c r="A57" s="29">
        <v>546</v>
      </c>
      <c r="D57" s="4">
        <v>7.23</v>
      </c>
      <c r="E57" s="4">
        <f t="shared" si="5"/>
        <v>105.16000000000001</v>
      </c>
      <c r="F57" s="4">
        <f t="shared" si="1"/>
        <v>3295.8777191666663</v>
      </c>
      <c r="G57" s="4">
        <v>0.42</v>
      </c>
      <c r="H57" s="1">
        <f t="shared" si="6"/>
        <v>105.58000000000001</v>
      </c>
      <c r="K57" t="s">
        <v>40</v>
      </c>
    </row>
    <row r="58" spans="1:16" ht="12.75">
      <c r="A58" s="29">
        <v>559</v>
      </c>
      <c r="D58" s="4">
        <v>7.3</v>
      </c>
      <c r="E58" s="4">
        <f t="shared" si="5"/>
        <v>105.09000000000002</v>
      </c>
      <c r="F58" s="4">
        <f t="shared" si="1"/>
        <v>3295.8077191666666</v>
      </c>
      <c r="G58" s="4">
        <v>0.54</v>
      </c>
      <c r="H58" s="1">
        <f t="shared" si="6"/>
        <v>105.63000000000002</v>
      </c>
      <c r="I58" s="64">
        <f>+(H58-H53)/(A58-A53)</f>
        <v>0.019076923076923217</v>
      </c>
      <c r="K58" t="s">
        <v>29</v>
      </c>
      <c r="O58" s="76">
        <f>A58-A53</f>
        <v>65</v>
      </c>
      <c r="P58">
        <v>91</v>
      </c>
    </row>
    <row r="59" spans="1:11" ht="12.75">
      <c r="A59" s="29">
        <v>573</v>
      </c>
      <c r="D59" s="4">
        <v>8.3</v>
      </c>
      <c r="E59" s="4">
        <f t="shared" si="5"/>
        <v>104.09000000000002</v>
      </c>
      <c r="F59" s="4">
        <f t="shared" si="1"/>
        <v>3294.8077191666666</v>
      </c>
      <c r="G59" s="4">
        <v>1.62</v>
      </c>
      <c r="H59" s="1">
        <f t="shared" si="6"/>
        <v>105.71000000000002</v>
      </c>
      <c r="K59" t="s">
        <v>41</v>
      </c>
    </row>
    <row r="60" spans="1:11" ht="12.75">
      <c r="A60" s="29">
        <v>580</v>
      </c>
      <c r="D60" s="4">
        <v>8.9</v>
      </c>
      <c r="E60" s="4">
        <f t="shared" si="5"/>
        <v>103.49000000000001</v>
      </c>
      <c r="F60" s="4">
        <f t="shared" si="1"/>
        <v>3294.2077191666667</v>
      </c>
      <c r="G60" s="4">
        <v>2.21</v>
      </c>
      <c r="H60" s="1">
        <f t="shared" si="6"/>
        <v>105.7</v>
      </c>
      <c r="K60" t="s">
        <v>19</v>
      </c>
    </row>
    <row r="61" spans="1:11" ht="12.75">
      <c r="A61" s="29">
        <v>588</v>
      </c>
      <c r="D61">
        <v>8.89</v>
      </c>
      <c r="E61" s="4">
        <f t="shared" si="5"/>
        <v>103.50000000000001</v>
      </c>
      <c r="F61" s="4">
        <f t="shared" si="1"/>
        <v>3294.2177191666665</v>
      </c>
      <c r="G61" s="4">
        <v>2.21</v>
      </c>
      <c r="H61" s="1">
        <f t="shared" si="6"/>
        <v>105.71000000000001</v>
      </c>
      <c r="K61" t="s">
        <v>42</v>
      </c>
    </row>
    <row r="62" spans="1:11" ht="12.75">
      <c r="A62" s="29">
        <v>600</v>
      </c>
      <c r="D62" s="4">
        <v>8.34</v>
      </c>
      <c r="E62" s="4">
        <f t="shared" si="5"/>
        <v>104.05000000000001</v>
      </c>
      <c r="F62" s="4">
        <f t="shared" si="1"/>
        <v>3294.7677191666667</v>
      </c>
      <c r="G62" s="4">
        <v>1.74</v>
      </c>
      <c r="H62" s="1">
        <f t="shared" si="6"/>
        <v>105.79</v>
      </c>
      <c r="K62" t="s">
        <v>33</v>
      </c>
    </row>
    <row r="63" spans="1:14" ht="12.75">
      <c r="A63" s="29">
        <v>605</v>
      </c>
      <c r="D63" s="4">
        <v>7.65</v>
      </c>
      <c r="E63" s="4">
        <f t="shared" si="5"/>
        <v>104.74000000000001</v>
      </c>
      <c r="F63" s="4">
        <f t="shared" si="1"/>
        <v>3295.4577191666667</v>
      </c>
      <c r="G63" s="4">
        <v>0.95</v>
      </c>
      <c r="H63" s="1">
        <f t="shared" si="6"/>
        <v>105.69000000000001</v>
      </c>
      <c r="I63" s="63">
        <f>+(H63-H58)/(A63-A58)</f>
        <v>0.001304347826086697</v>
      </c>
      <c r="K63" t="s">
        <v>28</v>
      </c>
      <c r="N63" s="68">
        <f>A63-A58</f>
        <v>46</v>
      </c>
    </row>
    <row r="64" spans="1:11" ht="12.75">
      <c r="A64" s="29">
        <v>617</v>
      </c>
      <c r="D64" s="4">
        <v>7</v>
      </c>
      <c r="E64" s="4">
        <f t="shared" si="5"/>
        <v>105.39000000000001</v>
      </c>
      <c r="F64" s="4">
        <f t="shared" si="1"/>
        <v>3296.1077191666664</v>
      </c>
      <c r="G64" s="4">
        <v>0.35</v>
      </c>
      <c r="H64" s="1">
        <f t="shared" si="6"/>
        <v>105.74000000000001</v>
      </c>
      <c r="K64" t="s">
        <v>32</v>
      </c>
    </row>
    <row r="65" spans="1:16" ht="12.75">
      <c r="A65" s="34">
        <v>631</v>
      </c>
      <c r="B65" s="12"/>
      <c r="C65" s="12"/>
      <c r="D65" s="25">
        <v>7.18</v>
      </c>
      <c r="E65" s="25">
        <f t="shared" si="5"/>
        <v>105.21000000000001</v>
      </c>
      <c r="F65" s="47">
        <f t="shared" si="1"/>
        <v>3295.9277191666665</v>
      </c>
      <c r="G65" s="25">
        <v>0.71</v>
      </c>
      <c r="H65" s="49">
        <f t="shared" si="6"/>
        <v>105.92</v>
      </c>
      <c r="I65" s="65">
        <f>+(H65-H63)/(A65-A63)</f>
        <v>0.008846153846153452</v>
      </c>
      <c r="J65" s="48">
        <v>108.3</v>
      </c>
      <c r="K65" s="12" t="s">
        <v>29</v>
      </c>
      <c r="L65" s="12"/>
      <c r="M65" s="12"/>
      <c r="N65" s="73"/>
      <c r="O65" s="81">
        <f>A65-A63</f>
        <v>26</v>
      </c>
      <c r="P65" s="12">
        <v>72</v>
      </c>
    </row>
    <row r="66" spans="4:16" ht="12.75">
      <c r="D66" s="35" t="s">
        <v>45</v>
      </c>
      <c r="E66" s="4">
        <f>+E65-E14</f>
        <v>6.3300000000000125</v>
      </c>
      <c r="G66" s="4">
        <f>AVERAGE(G14:G65)</f>
        <v>0.8968</v>
      </c>
      <c r="H66" s="4">
        <f>+H65-H14</f>
        <v>6.5</v>
      </c>
      <c r="I66" s="4"/>
      <c r="J66" s="4">
        <f>+J65-J14</f>
        <v>7.030000000000001</v>
      </c>
      <c r="M66" t="s">
        <v>83</v>
      </c>
      <c r="N66" s="68">
        <f>SUM(N12:N65)</f>
        <v>310</v>
      </c>
      <c r="O66" s="76">
        <f>SUM(O12:O65)</f>
        <v>321</v>
      </c>
      <c r="P66">
        <f>SUM(P12:P65)</f>
        <v>631</v>
      </c>
    </row>
    <row r="67" spans="4:18" ht="12.75">
      <c r="D67" s="35" t="s">
        <v>46</v>
      </c>
      <c r="E67" s="36">
        <f>+E66/A65</f>
        <v>0.010031695721077675</v>
      </c>
      <c r="F67" s="36"/>
      <c r="H67" s="85">
        <f>+H66/A65</f>
        <v>0.010301109350237718</v>
      </c>
      <c r="I67" s="36"/>
      <c r="J67" s="36">
        <f>+J66/A65</f>
        <v>0.011141045958795564</v>
      </c>
      <c r="L67" t="s">
        <v>82</v>
      </c>
      <c r="N67" s="74">
        <f>N66/13</f>
        <v>23.846153846153847</v>
      </c>
      <c r="O67" s="82">
        <f>O66/13</f>
        <v>24.692307692307693</v>
      </c>
      <c r="P67" s="4">
        <f>+P66/13</f>
        <v>48.53846153846154</v>
      </c>
      <c r="R67" s="153" t="s">
        <v>291</v>
      </c>
    </row>
    <row r="68" spans="2:15" ht="12.75">
      <c r="B68" s="88" t="s">
        <v>151</v>
      </c>
      <c r="C68">
        <v>543</v>
      </c>
      <c r="D68" s="4" t="s">
        <v>112</v>
      </c>
      <c r="E68" s="4">
        <f>+A65/C68</f>
        <v>1.1620626151012892</v>
      </c>
      <c r="M68" t="s">
        <v>84</v>
      </c>
      <c r="N68" s="75">
        <f>N66/631</f>
        <v>0.49128367670364503</v>
      </c>
      <c r="O68" s="83">
        <f>O66/631</f>
        <v>0.508716323296355</v>
      </c>
    </row>
    <row r="69" spans="1:16" ht="12.75">
      <c r="A69" s="29" t="s">
        <v>94</v>
      </c>
      <c r="M69" t="s">
        <v>140</v>
      </c>
      <c r="N69" s="68">
        <v>13</v>
      </c>
      <c r="O69" s="76">
        <v>13</v>
      </c>
      <c r="P69">
        <v>13</v>
      </c>
    </row>
    <row r="70" spans="1:15" ht="12.75">
      <c r="A70" s="29" t="s">
        <v>95</v>
      </c>
      <c r="M70" t="s">
        <v>46</v>
      </c>
      <c r="N70" s="89">
        <f>+(I63+I53+I47+I42+I37+I34+I31+I29+I26+I23+I21+I19+I16)/13</f>
        <v>0.005742408055174669</v>
      </c>
      <c r="O70" s="90">
        <f>+(I17+I20+I22+I24+I28+I30+I32+I35+I40+I43+I50+I58+I65)/13</f>
        <v>0.015010732443735002</v>
      </c>
    </row>
    <row r="71" spans="13:14" ht="12.75">
      <c r="M71" t="s">
        <v>201</v>
      </c>
      <c r="N71" s="68">
        <f>+N70/H67</f>
        <v>0.5574553050484947</v>
      </c>
    </row>
    <row r="72" spans="1:15" ht="12.75">
      <c r="A72" s="29">
        <v>100</v>
      </c>
      <c r="B72">
        <v>5.48</v>
      </c>
      <c r="C72">
        <f>C12+B72-D72</f>
        <v>108.46000000000001</v>
      </c>
      <c r="D72" s="4">
        <v>4.43</v>
      </c>
      <c r="E72" s="4">
        <f>C72-B72</f>
        <v>102.98</v>
      </c>
      <c r="M72" t="s">
        <v>202</v>
      </c>
      <c r="O72" s="76">
        <f>+O70/H67</f>
        <v>1.4571957187687363</v>
      </c>
    </row>
    <row r="73" spans="1:15" ht="12.75">
      <c r="A73" s="45">
        <v>400</v>
      </c>
      <c r="B73">
        <v>6.29</v>
      </c>
      <c r="C73">
        <f>C72+B73-D73</f>
        <v>112.39000000000001</v>
      </c>
      <c r="D73">
        <v>2.36</v>
      </c>
      <c r="E73" s="1">
        <f>C73-B73</f>
        <v>106.10000000000001</v>
      </c>
      <c r="F73" s="1"/>
      <c r="G73" s="1"/>
      <c r="K73" s="14" t="s">
        <v>43</v>
      </c>
      <c r="N73" s="70"/>
      <c r="O73" s="84"/>
    </row>
    <row r="74" ht="12.75">
      <c r="K74" s="14" t="s">
        <v>44</v>
      </c>
    </row>
    <row r="75" ht="12.75">
      <c r="A75" s="58" t="s">
        <v>96</v>
      </c>
    </row>
    <row r="76" spans="4:9" ht="12.75">
      <c r="D76" s="6" t="s">
        <v>97</v>
      </c>
      <c r="E76" s="55" t="s">
        <v>98</v>
      </c>
      <c r="I76" s="67" t="s">
        <v>153</v>
      </c>
    </row>
    <row r="77" spans="1:5" ht="12.75">
      <c r="A77" s="29" t="s">
        <v>106</v>
      </c>
      <c r="D77" s="55">
        <v>4</v>
      </c>
      <c r="E77" s="55">
        <v>11.6</v>
      </c>
    </row>
    <row r="78" spans="1:5" ht="12.75">
      <c r="A78" s="29" t="s">
        <v>107</v>
      </c>
      <c r="D78" s="55">
        <v>1.16</v>
      </c>
      <c r="E78" s="55">
        <v>1</v>
      </c>
    </row>
    <row r="79" spans="1:5" ht="12.75">
      <c r="A79" s="29" t="s">
        <v>105</v>
      </c>
      <c r="D79" s="55">
        <v>4.65</v>
      </c>
      <c r="E79" s="55">
        <v>11.6</v>
      </c>
    </row>
    <row r="80" spans="1:5" ht="12.75">
      <c r="A80" s="29" t="s">
        <v>99</v>
      </c>
      <c r="D80" s="55">
        <v>3.45</v>
      </c>
      <c r="E80" s="4">
        <f>+E77/E78</f>
        <v>11.6</v>
      </c>
    </row>
    <row r="81" spans="1:5" ht="12.75">
      <c r="A81" s="29" t="s">
        <v>108</v>
      </c>
      <c r="D81" s="55">
        <v>1.38</v>
      </c>
      <c r="E81" s="55">
        <v>1.4</v>
      </c>
    </row>
    <row r="82" spans="1:5" ht="12.75">
      <c r="A82" s="29" t="s">
        <v>100</v>
      </c>
      <c r="D82" s="56">
        <v>17.2</v>
      </c>
      <c r="E82" s="55">
        <v>285</v>
      </c>
    </row>
    <row r="83" spans="1:5" ht="12.75">
      <c r="A83" s="29" t="s">
        <v>101</v>
      </c>
      <c r="D83" s="56">
        <v>4.3</v>
      </c>
      <c r="E83" s="55">
        <f>+E82/E77</f>
        <v>24.56896551724138</v>
      </c>
    </row>
    <row r="84" spans="1:5" ht="12.75">
      <c r="A84" s="29" t="s">
        <v>109</v>
      </c>
      <c r="D84" s="56">
        <v>46</v>
      </c>
      <c r="E84" s="55">
        <v>2</v>
      </c>
    </row>
    <row r="85" spans="1:5" ht="12.75">
      <c r="A85" s="29" t="s">
        <v>102</v>
      </c>
      <c r="D85" s="57">
        <v>0.0129</v>
      </c>
      <c r="E85" s="57">
        <f>+H67</f>
        <v>0.010301109350237718</v>
      </c>
    </row>
    <row r="86" spans="1:5" ht="12.75">
      <c r="A86" s="29" t="s">
        <v>103</v>
      </c>
      <c r="D86" s="55">
        <v>1.02</v>
      </c>
      <c r="E86" s="55">
        <v>1.16</v>
      </c>
    </row>
    <row r="87" spans="1:6" ht="12.75">
      <c r="A87" s="29" t="s">
        <v>152</v>
      </c>
      <c r="D87" s="57">
        <v>0.013</v>
      </c>
      <c r="E87" s="57">
        <f>+H66/C68</f>
        <v>0.011970534069981584</v>
      </c>
      <c r="F87" s="204">
        <f>11.06/832</f>
        <v>0.013293269230769232</v>
      </c>
    </row>
    <row r="88" spans="1:5" ht="12.75">
      <c r="A88" s="29" t="s">
        <v>104</v>
      </c>
      <c r="D88" s="55" t="s">
        <v>139</v>
      </c>
      <c r="E88" s="55" t="s">
        <v>138</v>
      </c>
    </row>
    <row r="89" spans="1:5" ht="12.75">
      <c r="A89" s="29" t="s">
        <v>110</v>
      </c>
      <c r="D89" s="55" t="s">
        <v>111</v>
      </c>
      <c r="E89" s="59" t="s">
        <v>137</v>
      </c>
    </row>
    <row r="90" spans="1:5" ht="12.75">
      <c r="A90" s="29" t="s">
        <v>115</v>
      </c>
      <c r="D90" s="55"/>
      <c r="E90" s="55"/>
    </row>
    <row r="91" ht="12.75">
      <c r="A91" s="29" t="s">
        <v>113</v>
      </c>
    </row>
    <row r="92" ht="12.75">
      <c r="A92" s="29" t="s">
        <v>114</v>
      </c>
    </row>
    <row r="94" ht="12.75">
      <c r="A94" s="29" t="s">
        <v>119</v>
      </c>
    </row>
    <row r="95" ht="12.75">
      <c r="A95" s="29" t="s">
        <v>116</v>
      </c>
    </row>
    <row r="96" ht="12.75">
      <c r="A96" s="29" t="s">
        <v>150</v>
      </c>
    </row>
    <row r="97" ht="12.75">
      <c r="A97" s="29" t="s">
        <v>117</v>
      </c>
    </row>
    <row r="98" ht="12.75">
      <c r="A98" s="29" t="s">
        <v>118</v>
      </c>
    </row>
  </sheetData>
  <printOptions/>
  <pageMargins left="0.75" right="0.75" top="1" bottom="1" header="0.5" footer="0.5"/>
  <pageSetup fitToHeight="1" fitToWidth="1" horizontalDpi="300" verticalDpi="3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19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1:13" ht="18">
      <c r="A2" s="10" t="s">
        <v>0</v>
      </c>
      <c r="C2" s="9"/>
      <c r="D2" s="9"/>
      <c r="E2" s="9"/>
      <c r="G2" s="19"/>
      <c r="H2" s="19"/>
      <c r="I2" s="19"/>
      <c r="J2" s="19"/>
      <c r="K2" s="1"/>
      <c r="L2" s="19"/>
      <c r="M2" s="4"/>
    </row>
    <row r="3" spans="1:13" ht="15.75">
      <c r="A3" s="39" t="s">
        <v>91</v>
      </c>
      <c r="F3" t="s">
        <v>89</v>
      </c>
      <c r="G3" s="19"/>
      <c r="H3" s="19"/>
      <c r="I3" s="19"/>
      <c r="J3" s="19"/>
      <c r="K3" s="1"/>
      <c r="L3" s="19"/>
      <c r="M3" s="4"/>
    </row>
    <row r="4" spans="1:27" ht="12.75">
      <c r="A4" t="s">
        <v>80</v>
      </c>
      <c r="B4" s="44">
        <v>36692</v>
      </c>
      <c r="G4" s="19"/>
      <c r="H4" s="19"/>
      <c r="I4" s="19"/>
      <c r="J4" s="19"/>
      <c r="K4" s="1"/>
      <c r="L4" s="19"/>
      <c r="M4" s="4"/>
      <c r="Y4" s="4"/>
      <c r="Z4" s="4"/>
      <c r="AA4" s="4"/>
    </row>
    <row r="5" spans="1:27" ht="12.75">
      <c r="A5" s="26" t="s">
        <v>1</v>
      </c>
      <c r="B5" s="7" t="s">
        <v>2</v>
      </c>
      <c r="C5" s="16"/>
      <c r="D5" s="16"/>
      <c r="E5" s="16"/>
      <c r="F5" s="16"/>
      <c r="G5" s="19"/>
      <c r="H5" s="19"/>
      <c r="I5" s="19"/>
      <c r="J5" s="19"/>
      <c r="K5" s="1"/>
      <c r="L5" s="19"/>
      <c r="M5" s="4"/>
      <c r="Y5" s="4"/>
      <c r="Z5" s="4"/>
      <c r="AA5" s="4"/>
    </row>
    <row r="6" spans="1:27" ht="12.75">
      <c r="A6" s="26" t="s">
        <v>3</v>
      </c>
      <c r="B6" s="17" t="s">
        <v>5</v>
      </c>
      <c r="C6" s="17" t="s">
        <v>6</v>
      </c>
      <c r="D6" s="17" t="s">
        <v>14</v>
      </c>
      <c r="E6" s="53" t="b">
        <v>1</v>
      </c>
      <c r="F6" s="8" t="s">
        <v>7</v>
      </c>
      <c r="G6" s="8" t="s">
        <v>7</v>
      </c>
      <c r="H6" s="8" t="s">
        <v>144</v>
      </c>
      <c r="I6" s="19"/>
      <c r="J6" s="19" t="s">
        <v>56</v>
      </c>
      <c r="K6" s="1" t="s">
        <v>65</v>
      </c>
      <c r="L6" s="19"/>
      <c r="M6" s="4"/>
      <c r="Y6" s="4"/>
      <c r="Z6" s="4"/>
      <c r="AA6" s="4"/>
    </row>
    <row r="7" spans="1:27" ht="12.75">
      <c r="A7" s="28" t="s">
        <v>8</v>
      </c>
      <c r="B7" s="11" t="s">
        <v>10</v>
      </c>
      <c r="C7" s="11" t="s">
        <v>11</v>
      </c>
      <c r="D7" s="40" t="s">
        <v>58</v>
      </c>
      <c r="E7" s="41" t="s">
        <v>14</v>
      </c>
      <c r="F7" s="11" t="s">
        <v>12</v>
      </c>
      <c r="G7" s="41" t="s">
        <v>14</v>
      </c>
      <c r="H7" s="61" t="s">
        <v>127</v>
      </c>
      <c r="I7" s="27" t="s">
        <v>57</v>
      </c>
      <c r="J7" s="27" t="s">
        <v>14</v>
      </c>
      <c r="K7" s="2" t="s">
        <v>14</v>
      </c>
      <c r="L7" s="27" t="s">
        <v>13</v>
      </c>
      <c r="Y7" s="4"/>
      <c r="Z7" s="4"/>
      <c r="AA7" s="4"/>
    </row>
    <row r="8" spans="1:27" ht="12.75">
      <c r="A8">
        <v>0</v>
      </c>
      <c r="B8" s="4">
        <v>108.54</v>
      </c>
      <c r="C8" s="4">
        <v>5.79</v>
      </c>
      <c r="D8" s="4">
        <f>+$B$8-C8</f>
        <v>102.75</v>
      </c>
      <c r="E8" s="4">
        <f>3290.72+D8-100</f>
        <v>3293.47</v>
      </c>
      <c r="F8" s="4"/>
      <c r="G8" s="20"/>
      <c r="H8" s="20"/>
      <c r="I8" s="20"/>
      <c r="J8" s="20"/>
      <c r="K8" s="4">
        <v>104.27</v>
      </c>
      <c r="L8" s="20" t="s">
        <v>63</v>
      </c>
      <c r="M8" s="3"/>
      <c r="Y8" s="4"/>
      <c r="Z8" s="4"/>
      <c r="AA8" s="4"/>
    </row>
    <row r="9" spans="1:27" ht="12.75">
      <c r="A9">
        <v>5</v>
      </c>
      <c r="B9" s="4"/>
      <c r="C9" s="4">
        <v>5.71</v>
      </c>
      <c r="D9" s="4">
        <f aca="true" t="shared" si="0" ref="D9:D44">+$B$8-C9</f>
        <v>102.83000000000001</v>
      </c>
      <c r="E9" s="4">
        <f aca="true" t="shared" si="1" ref="E9:E44">3290.72+D9-100</f>
        <v>3293.5499999999997</v>
      </c>
      <c r="F9" s="4"/>
      <c r="G9" s="20"/>
      <c r="H9" s="20"/>
      <c r="I9" s="20"/>
      <c r="J9" s="20"/>
      <c r="K9" s="1"/>
      <c r="L9" s="20"/>
      <c r="M9" s="3"/>
      <c r="Y9" s="4"/>
      <c r="Z9" s="4"/>
      <c r="AA9" s="4"/>
    </row>
    <row r="10" spans="1:27" ht="12.75">
      <c r="A10">
        <v>10</v>
      </c>
      <c r="B10" s="4"/>
      <c r="C10" s="4">
        <v>5.64</v>
      </c>
      <c r="D10" s="4">
        <f t="shared" si="0"/>
        <v>102.9</v>
      </c>
      <c r="E10" s="4">
        <f t="shared" si="1"/>
        <v>3293.62</v>
      </c>
      <c r="F10" s="4"/>
      <c r="G10" s="1"/>
      <c r="H10" s="1"/>
      <c r="I10" s="1"/>
      <c r="J10" s="1"/>
      <c r="K10" s="1"/>
      <c r="L10" s="1"/>
      <c r="M10" s="15"/>
      <c r="N10" s="3"/>
      <c r="Y10" s="4"/>
      <c r="Z10" s="4"/>
      <c r="AA10" s="4"/>
    </row>
    <row r="11" spans="1:27" ht="12.75">
      <c r="A11">
        <v>15</v>
      </c>
      <c r="B11" s="4"/>
      <c r="C11" s="4">
        <v>5.66</v>
      </c>
      <c r="D11" s="4">
        <f t="shared" si="0"/>
        <v>102.88000000000001</v>
      </c>
      <c r="E11" s="4">
        <f t="shared" si="1"/>
        <v>3293.6</v>
      </c>
      <c r="F11" s="4"/>
      <c r="G11" s="1"/>
      <c r="H11" s="1"/>
      <c r="I11" s="1"/>
      <c r="J11" s="1"/>
      <c r="K11" s="1"/>
      <c r="L11" s="1"/>
      <c r="M11" s="15"/>
      <c r="N11" s="3"/>
      <c r="Y11" s="4"/>
      <c r="Z11" s="4"/>
      <c r="AA11" s="4"/>
    </row>
    <row r="12" spans="1:27" ht="12.75">
      <c r="A12">
        <v>20</v>
      </c>
      <c r="B12" s="4"/>
      <c r="C12" s="4">
        <v>5.77</v>
      </c>
      <c r="D12" s="4">
        <f t="shared" si="0"/>
        <v>102.77000000000001</v>
      </c>
      <c r="E12" s="4">
        <f t="shared" si="1"/>
        <v>3293.49</v>
      </c>
      <c r="F12" s="4"/>
      <c r="G12" s="20"/>
      <c r="H12" s="20"/>
      <c r="I12" s="20"/>
      <c r="J12" s="20"/>
      <c r="K12" s="1"/>
      <c r="L12" s="20"/>
      <c r="M12" s="3"/>
      <c r="Y12" s="4"/>
      <c r="Z12" s="4"/>
      <c r="AA12" s="4"/>
    </row>
    <row r="13" spans="1:27" ht="12.75">
      <c r="A13">
        <v>25</v>
      </c>
      <c r="B13" s="4"/>
      <c r="C13" s="4">
        <v>6.04</v>
      </c>
      <c r="D13" s="4">
        <f t="shared" si="0"/>
        <v>102.5</v>
      </c>
      <c r="E13" s="4">
        <f t="shared" si="1"/>
        <v>3293.22</v>
      </c>
      <c r="F13" s="4"/>
      <c r="G13" s="19"/>
      <c r="H13" s="19"/>
      <c r="I13" s="19"/>
      <c r="J13" s="19"/>
      <c r="K13" s="4"/>
      <c r="L13" s="19"/>
      <c r="Y13" s="4"/>
      <c r="Z13" s="4"/>
      <c r="AA13" s="4"/>
    </row>
    <row r="14" spans="1:27" ht="12.75">
      <c r="A14">
        <v>30</v>
      </c>
      <c r="B14" s="4"/>
      <c r="C14" s="4">
        <v>6.12</v>
      </c>
      <c r="D14" s="4">
        <f t="shared" si="0"/>
        <v>102.42</v>
      </c>
      <c r="E14" s="4">
        <f t="shared" si="1"/>
        <v>3293.14</v>
      </c>
      <c r="F14" s="4"/>
      <c r="G14" s="19"/>
      <c r="H14" s="19"/>
      <c r="I14" s="19"/>
      <c r="J14" s="19"/>
      <c r="K14" s="1"/>
      <c r="L14" s="19"/>
      <c r="Y14" s="4"/>
      <c r="Z14" s="4"/>
      <c r="AA14" s="4"/>
    </row>
    <row r="15" spans="1:27" ht="12.75">
      <c r="A15">
        <v>35</v>
      </c>
      <c r="B15" s="4"/>
      <c r="C15" s="4">
        <v>6.81</v>
      </c>
      <c r="D15" s="4">
        <f t="shared" si="0"/>
        <v>101.73</v>
      </c>
      <c r="E15" s="4">
        <f t="shared" si="1"/>
        <v>3292.45</v>
      </c>
      <c r="F15" s="4"/>
      <c r="G15" s="19"/>
      <c r="H15" s="19"/>
      <c r="I15" s="19"/>
      <c r="J15" s="19"/>
      <c r="K15" s="1"/>
      <c r="L15" s="19"/>
      <c r="Y15" s="4"/>
      <c r="Z15" s="4"/>
      <c r="AA15" s="4"/>
    </row>
    <row r="16" spans="1:27" ht="12.75">
      <c r="A16">
        <v>40</v>
      </c>
      <c r="B16" s="4"/>
      <c r="C16" s="4">
        <v>6.67</v>
      </c>
      <c r="D16" s="4">
        <f t="shared" si="0"/>
        <v>101.87</v>
      </c>
      <c r="E16" s="4">
        <f t="shared" si="1"/>
        <v>3292.5899999999997</v>
      </c>
      <c r="F16" s="4"/>
      <c r="G16" s="19"/>
      <c r="H16" s="19"/>
      <c r="I16" s="19"/>
      <c r="J16" s="19"/>
      <c r="K16" s="1"/>
      <c r="L16" s="19"/>
      <c r="Y16" s="4"/>
      <c r="Z16" s="4"/>
      <c r="AA16" s="4"/>
    </row>
    <row r="17" spans="1:27" ht="12.75">
      <c r="A17">
        <v>45</v>
      </c>
      <c r="B17" s="4"/>
      <c r="C17" s="4">
        <v>6.62</v>
      </c>
      <c r="D17" s="4">
        <f t="shared" si="0"/>
        <v>101.92</v>
      </c>
      <c r="E17" s="4">
        <f t="shared" si="1"/>
        <v>3292.64</v>
      </c>
      <c r="F17" s="4"/>
      <c r="G17" s="19"/>
      <c r="I17" s="19"/>
      <c r="J17" s="19">
        <v>101.92</v>
      </c>
      <c r="K17" s="1"/>
      <c r="L17" t="s">
        <v>72</v>
      </c>
      <c r="Y17" s="4"/>
      <c r="Z17" s="4"/>
      <c r="AA17" s="4"/>
    </row>
    <row r="18" spans="1:27" ht="12.75">
      <c r="A18">
        <v>46</v>
      </c>
      <c r="B18" s="4"/>
      <c r="C18" s="4">
        <v>6.7</v>
      </c>
      <c r="D18" s="4">
        <f t="shared" si="0"/>
        <v>101.84</v>
      </c>
      <c r="E18" s="4">
        <f t="shared" si="1"/>
        <v>3292.56</v>
      </c>
      <c r="F18" s="4"/>
      <c r="G18" s="19"/>
      <c r="H18" s="1">
        <f>+(A18-A17)*($D$17-D18)*0.5</f>
        <v>0.03999999999999915</v>
      </c>
      <c r="I18" s="19"/>
      <c r="J18" s="19">
        <v>101.92</v>
      </c>
      <c r="K18" s="4"/>
      <c r="L18" s="19"/>
      <c r="Y18" s="4"/>
      <c r="Z18" s="4"/>
      <c r="AA18" s="4"/>
    </row>
    <row r="19" spans="1:27" ht="12.75">
      <c r="A19">
        <v>47</v>
      </c>
      <c r="B19" s="4"/>
      <c r="C19" s="4">
        <v>6.72</v>
      </c>
      <c r="D19" s="4">
        <f t="shared" si="0"/>
        <v>101.82000000000001</v>
      </c>
      <c r="E19" s="4">
        <f t="shared" si="1"/>
        <v>3292.54</v>
      </c>
      <c r="F19" s="4"/>
      <c r="G19" s="1"/>
      <c r="H19" s="1">
        <f>+(A19-A18)*($D$17-D19)</f>
        <v>0.09999999999999432</v>
      </c>
      <c r="I19" s="19"/>
      <c r="J19" s="19">
        <v>101.92</v>
      </c>
      <c r="K19" s="1"/>
      <c r="Y19" s="4"/>
      <c r="Z19" s="4"/>
      <c r="AA19" s="4"/>
    </row>
    <row r="20" spans="1:27" ht="12.75">
      <c r="A20">
        <v>48</v>
      </c>
      <c r="B20" s="4"/>
      <c r="C20" s="4">
        <v>6.89</v>
      </c>
      <c r="D20" s="4">
        <f t="shared" si="0"/>
        <v>101.65</v>
      </c>
      <c r="E20" s="4">
        <f t="shared" si="1"/>
        <v>3292.37</v>
      </c>
      <c r="F20" s="4"/>
      <c r="G20" s="1"/>
      <c r="H20" s="1">
        <f aca="true" t="shared" si="2" ref="H20:H34">+(A20-A19)*($D$17-D20)</f>
        <v>0.269999999999996</v>
      </c>
      <c r="I20" s="19"/>
      <c r="J20" s="19">
        <v>101.92</v>
      </c>
      <c r="K20" s="1"/>
      <c r="L20" s="19"/>
      <c r="Y20" s="4"/>
      <c r="Z20" s="4"/>
      <c r="AA20" s="4"/>
    </row>
    <row r="21" spans="1:27" ht="12.75">
      <c r="A21">
        <v>48.7</v>
      </c>
      <c r="B21" s="4"/>
      <c r="C21" s="4">
        <v>7.46</v>
      </c>
      <c r="D21" s="4">
        <f t="shared" si="0"/>
        <v>101.08000000000001</v>
      </c>
      <c r="E21" s="4">
        <f t="shared" si="1"/>
        <v>3291.7999999999997</v>
      </c>
      <c r="F21" s="4"/>
      <c r="G21" s="1"/>
      <c r="H21" s="1">
        <f t="shared" si="2"/>
        <v>0.5879999999999949</v>
      </c>
      <c r="I21" s="19"/>
      <c r="J21" s="19">
        <v>101.92</v>
      </c>
      <c r="K21" s="1"/>
      <c r="L21" s="19" t="s">
        <v>121</v>
      </c>
      <c r="Y21" s="4"/>
      <c r="Z21" s="4"/>
      <c r="AA21" s="4"/>
    </row>
    <row r="22" spans="1:27" ht="12.75">
      <c r="A22">
        <v>49</v>
      </c>
      <c r="B22" s="4"/>
      <c r="C22" s="4">
        <v>7.83</v>
      </c>
      <c r="D22" s="4">
        <f t="shared" si="0"/>
        <v>100.71000000000001</v>
      </c>
      <c r="E22" s="4">
        <f t="shared" si="1"/>
        <v>3291.43</v>
      </c>
      <c r="F22" s="4">
        <v>0</v>
      </c>
      <c r="G22" s="1">
        <f aca="true" t="shared" si="3" ref="G22:G31">+D22+F22</f>
        <v>100.71000000000001</v>
      </c>
      <c r="H22" s="1">
        <f t="shared" si="2"/>
        <v>0.36299999999999466</v>
      </c>
      <c r="I22" s="19"/>
      <c r="J22" s="19">
        <v>101.92</v>
      </c>
      <c r="K22" s="1"/>
      <c r="L22" s="19" t="s">
        <v>61</v>
      </c>
      <c r="Y22" s="4"/>
      <c r="Z22" s="4"/>
      <c r="AA22" s="4"/>
    </row>
    <row r="23" spans="1:27" ht="12.75">
      <c r="A23">
        <v>49.5</v>
      </c>
      <c r="B23" s="4"/>
      <c r="C23" s="4">
        <v>8.38</v>
      </c>
      <c r="D23" s="4">
        <f t="shared" si="0"/>
        <v>100.16000000000001</v>
      </c>
      <c r="E23" s="4">
        <f t="shared" si="1"/>
        <v>3290.8799999999997</v>
      </c>
      <c r="F23" s="4">
        <v>0.52</v>
      </c>
      <c r="G23" s="1">
        <f t="shared" si="3"/>
        <v>100.68</v>
      </c>
      <c r="H23" s="1">
        <f t="shared" si="2"/>
        <v>0.8799999999999955</v>
      </c>
      <c r="I23" s="19"/>
      <c r="J23" s="19">
        <v>101.92</v>
      </c>
      <c r="K23" s="1"/>
      <c r="L23" s="19"/>
      <c r="Y23" s="4"/>
      <c r="Z23" s="4"/>
      <c r="AA23" s="4"/>
    </row>
    <row r="24" spans="1:27" ht="12.75">
      <c r="A24">
        <v>50</v>
      </c>
      <c r="B24" s="4"/>
      <c r="C24" s="4">
        <v>8.68</v>
      </c>
      <c r="D24" s="4">
        <f t="shared" si="0"/>
        <v>99.86000000000001</v>
      </c>
      <c r="E24" s="4">
        <f t="shared" si="1"/>
        <v>3290.58</v>
      </c>
      <c r="F24" s="4">
        <v>0.8</v>
      </c>
      <c r="G24" s="1">
        <f t="shared" si="3"/>
        <v>100.66000000000001</v>
      </c>
      <c r="H24" s="1">
        <f t="shared" si="2"/>
        <v>1.029999999999994</v>
      </c>
      <c r="I24" s="19"/>
      <c r="J24" s="19">
        <v>101.92</v>
      </c>
      <c r="K24" s="1"/>
      <c r="L24" s="19"/>
      <c r="Y24" s="4"/>
      <c r="Z24" s="4"/>
      <c r="AA24" s="4"/>
    </row>
    <row r="25" spans="1:27" ht="12.75">
      <c r="A25">
        <v>50.5</v>
      </c>
      <c r="B25" s="4"/>
      <c r="C25" s="4">
        <v>8.79</v>
      </c>
      <c r="D25" s="4">
        <f t="shared" si="0"/>
        <v>99.75</v>
      </c>
      <c r="E25" s="4">
        <f t="shared" si="1"/>
        <v>3290.47</v>
      </c>
      <c r="F25" s="4">
        <v>0.98</v>
      </c>
      <c r="G25" s="1">
        <f t="shared" si="3"/>
        <v>100.73</v>
      </c>
      <c r="H25" s="1">
        <f t="shared" si="2"/>
        <v>1.0850000000000009</v>
      </c>
      <c r="I25" s="19"/>
      <c r="J25" s="19">
        <v>101.92</v>
      </c>
      <c r="K25" s="1"/>
      <c r="L25" s="19"/>
      <c r="Y25" s="4"/>
      <c r="Z25" s="4"/>
      <c r="AA25" s="4"/>
    </row>
    <row r="26" spans="1:27" ht="12.75">
      <c r="A26">
        <v>51</v>
      </c>
      <c r="B26" s="4"/>
      <c r="C26" s="4">
        <v>8.85</v>
      </c>
      <c r="D26" s="4">
        <f t="shared" si="0"/>
        <v>99.69000000000001</v>
      </c>
      <c r="E26" s="4">
        <f t="shared" si="1"/>
        <v>3290.41</v>
      </c>
      <c r="F26" s="4">
        <v>1.03</v>
      </c>
      <c r="G26" s="1">
        <f t="shared" si="3"/>
        <v>100.72000000000001</v>
      </c>
      <c r="H26" s="1">
        <f t="shared" si="2"/>
        <v>1.1149999999999949</v>
      </c>
      <c r="I26" s="19"/>
      <c r="J26" s="19">
        <v>101.92</v>
      </c>
      <c r="K26" s="1"/>
      <c r="L26" s="19"/>
      <c r="W26" s="14"/>
      <c r="Y26" s="4"/>
      <c r="Z26" s="4"/>
      <c r="AA26" s="4"/>
    </row>
    <row r="27" spans="1:27" ht="12.75">
      <c r="A27">
        <v>51.5</v>
      </c>
      <c r="B27" s="4"/>
      <c r="C27" s="4">
        <v>8.94</v>
      </c>
      <c r="D27" s="4">
        <f t="shared" si="0"/>
        <v>99.60000000000001</v>
      </c>
      <c r="E27" s="4">
        <f t="shared" si="1"/>
        <v>3290.3199999999997</v>
      </c>
      <c r="F27" s="4">
        <v>1.11</v>
      </c>
      <c r="G27" s="1">
        <f t="shared" si="3"/>
        <v>100.71000000000001</v>
      </c>
      <c r="H27" s="1">
        <f t="shared" si="2"/>
        <v>1.1599999999999966</v>
      </c>
      <c r="I27" s="1"/>
      <c r="J27" s="19">
        <v>101.92</v>
      </c>
      <c r="K27" s="1"/>
      <c r="L27" s="19"/>
      <c r="Y27" s="4"/>
      <c r="Z27" s="4"/>
      <c r="AA27" s="4"/>
    </row>
    <row r="28" spans="1:27" ht="12.75">
      <c r="A28">
        <v>52</v>
      </c>
      <c r="B28" s="4"/>
      <c r="C28" s="4">
        <v>8.94</v>
      </c>
      <c r="D28" s="4">
        <f t="shared" si="0"/>
        <v>99.60000000000001</v>
      </c>
      <c r="E28" s="4">
        <f t="shared" si="1"/>
        <v>3290.3199999999997</v>
      </c>
      <c r="F28" s="4">
        <v>1.11</v>
      </c>
      <c r="G28" s="1">
        <f t="shared" si="3"/>
        <v>100.71000000000001</v>
      </c>
      <c r="H28" s="1">
        <f t="shared" si="2"/>
        <v>1.1599999999999966</v>
      </c>
      <c r="I28" s="1"/>
      <c r="J28" s="19">
        <v>101.92</v>
      </c>
      <c r="K28" s="1"/>
      <c r="L28" s="19"/>
      <c r="Y28" s="4"/>
      <c r="Z28" s="4"/>
      <c r="AA28" s="4"/>
    </row>
    <row r="29" spans="1:27" ht="12.75">
      <c r="A29">
        <v>52.5</v>
      </c>
      <c r="B29" s="4"/>
      <c r="C29" s="4">
        <v>8.89</v>
      </c>
      <c r="D29" s="4">
        <f t="shared" si="0"/>
        <v>99.65</v>
      </c>
      <c r="E29" s="4">
        <f t="shared" si="1"/>
        <v>3290.37</v>
      </c>
      <c r="F29" s="4">
        <v>1.09</v>
      </c>
      <c r="G29" s="1">
        <f t="shared" si="3"/>
        <v>100.74000000000001</v>
      </c>
      <c r="H29" s="1">
        <f t="shared" si="2"/>
        <v>1.134999999999998</v>
      </c>
      <c r="I29" s="1"/>
      <c r="J29" s="19">
        <v>101.92</v>
      </c>
      <c r="K29" s="1"/>
      <c r="Y29" s="4"/>
      <c r="Z29" s="4"/>
      <c r="AA29" s="4"/>
    </row>
    <row r="30" spans="1:27" ht="12.75">
      <c r="A30">
        <v>53</v>
      </c>
      <c r="B30" s="4"/>
      <c r="C30" s="4">
        <v>8.97</v>
      </c>
      <c r="D30" s="4">
        <f t="shared" si="0"/>
        <v>99.57000000000001</v>
      </c>
      <c r="E30" s="4">
        <f t="shared" si="1"/>
        <v>3290.29</v>
      </c>
      <c r="F30" s="4">
        <v>1.16</v>
      </c>
      <c r="G30" s="1">
        <f t="shared" si="3"/>
        <v>100.73</v>
      </c>
      <c r="H30" s="1">
        <f t="shared" si="2"/>
        <v>1.1749999999999972</v>
      </c>
      <c r="I30" s="1"/>
      <c r="J30" s="19">
        <v>101.92</v>
      </c>
      <c r="K30" s="1"/>
      <c r="L30" s="19"/>
      <c r="Y30" s="4"/>
      <c r="Z30" s="4"/>
      <c r="AA30" s="4"/>
    </row>
    <row r="31" spans="1:27" ht="12.75">
      <c r="A31">
        <v>53.2</v>
      </c>
      <c r="B31" s="4"/>
      <c r="C31" s="4">
        <v>8.88</v>
      </c>
      <c r="D31" s="4">
        <f t="shared" si="0"/>
        <v>99.66000000000001</v>
      </c>
      <c r="E31" s="4">
        <f t="shared" si="1"/>
        <v>3290.3799999999997</v>
      </c>
      <c r="F31" s="4">
        <v>1.07</v>
      </c>
      <c r="G31" s="1">
        <f t="shared" si="3"/>
        <v>100.73</v>
      </c>
      <c r="H31" s="1">
        <f t="shared" si="2"/>
        <v>0.4520000000000046</v>
      </c>
      <c r="I31" s="1"/>
      <c r="J31" s="19">
        <v>101.92</v>
      </c>
      <c r="K31" s="1"/>
      <c r="L31" s="19" t="s">
        <v>92</v>
      </c>
      <c r="Y31" s="4"/>
      <c r="Z31" s="4"/>
      <c r="AA31" s="4"/>
    </row>
    <row r="32" spans="1:27" ht="12.75">
      <c r="A32">
        <v>53.2</v>
      </c>
      <c r="B32" s="4"/>
      <c r="C32" s="4">
        <v>7.46</v>
      </c>
      <c r="D32" s="4">
        <f t="shared" si="0"/>
        <v>101.08000000000001</v>
      </c>
      <c r="E32" s="4">
        <f t="shared" si="1"/>
        <v>3291.7999999999997</v>
      </c>
      <c r="F32" s="4"/>
      <c r="G32" s="1"/>
      <c r="H32" s="1">
        <f t="shared" si="2"/>
        <v>0</v>
      </c>
      <c r="I32" s="1">
        <v>0.65</v>
      </c>
      <c r="J32" s="19">
        <v>101.92</v>
      </c>
      <c r="K32" s="1"/>
      <c r="L32" s="19" t="s">
        <v>120</v>
      </c>
      <c r="Y32" s="4"/>
      <c r="Z32" s="4"/>
      <c r="AA32" s="4"/>
    </row>
    <row r="33" spans="1:27" ht="12.75">
      <c r="A33">
        <v>53.5</v>
      </c>
      <c r="B33" s="4"/>
      <c r="C33" s="4">
        <v>6.86</v>
      </c>
      <c r="D33" s="4">
        <f t="shared" si="0"/>
        <v>101.68</v>
      </c>
      <c r="E33" s="4">
        <f t="shared" si="1"/>
        <v>3292.3999999999996</v>
      </c>
      <c r="F33" s="4"/>
      <c r="G33" s="19"/>
      <c r="H33" s="1">
        <f t="shared" si="2"/>
        <v>0.07199999999999779</v>
      </c>
      <c r="I33" s="19"/>
      <c r="J33" s="19">
        <v>101.92</v>
      </c>
      <c r="K33" s="1"/>
      <c r="W33" s="6"/>
      <c r="Z33" s="4"/>
      <c r="AA33" s="4"/>
    </row>
    <row r="34" spans="1:27" ht="12.75">
      <c r="A34">
        <v>54</v>
      </c>
      <c r="B34" s="4"/>
      <c r="C34" s="4">
        <v>6.73</v>
      </c>
      <c r="D34" s="4">
        <f t="shared" si="0"/>
        <v>101.81</v>
      </c>
      <c r="E34" s="4">
        <f t="shared" si="1"/>
        <v>3292.5299999999997</v>
      </c>
      <c r="F34" s="4"/>
      <c r="G34" s="19"/>
      <c r="H34" s="1">
        <f t="shared" si="2"/>
        <v>0.054999999999999716</v>
      </c>
      <c r="I34" s="19"/>
      <c r="J34" s="19">
        <v>101.92</v>
      </c>
      <c r="K34" s="1"/>
      <c r="L34" s="19" t="s">
        <v>72</v>
      </c>
      <c r="W34" s="6"/>
      <c r="Z34" s="4"/>
      <c r="AA34" s="4"/>
    </row>
    <row r="35" spans="1:27" ht="12.75">
      <c r="A35">
        <v>55</v>
      </c>
      <c r="B35" s="4"/>
      <c r="C35" s="4">
        <v>6.45</v>
      </c>
      <c r="D35" s="4">
        <f t="shared" si="0"/>
        <v>102.09</v>
      </c>
      <c r="E35" s="4">
        <f t="shared" si="1"/>
        <v>3292.81</v>
      </c>
      <c r="F35" s="4"/>
      <c r="G35" s="19"/>
      <c r="H35" s="19"/>
      <c r="I35" s="19"/>
      <c r="J35" s="19"/>
      <c r="K35" s="1"/>
      <c r="L35" s="19"/>
      <c r="W35" s="6"/>
      <c r="Z35" s="4"/>
      <c r="AA35" s="4"/>
    </row>
    <row r="36" spans="1:27" ht="12.75">
      <c r="A36">
        <v>60</v>
      </c>
      <c r="B36" s="4"/>
      <c r="C36" s="4">
        <v>5.97</v>
      </c>
      <c r="D36" s="4">
        <f t="shared" si="0"/>
        <v>102.57000000000001</v>
      </c>
      <c r="E36" s="4">
        <f t="shared" si="1"/>
        <v>3293.29</v>
      </c>
      <c r="F36" s="4"/>
      <c r="G36" s="19"/>
      <c r="H36" s="19"/>
      <c r="I36" s="19"/>
      <c r="J36" s="19"/>
      <c r="K36" s="1"/>
      <c r="L36" s="19"/>
      <c r="W36" s="6"/>
      <c r="Y36" s="4"/>
      <c r="Z36" s="4"/>
      <c r="AA36" s="4"/>
    </row>
    <row r="37" spans="1:27" ht="12.75">
      <c r="A37">
        <v>65</v>
      </c>
      <c r="B37" s="4"/>
      <c r="C37" s="4">
        <v>5.9</v>
      </c>
      <c r="D37" s="4">
        <f t="shared" si="0"/>
        <v>102.64</v>
      </c>
      <c r="E37" s="4">
        <f t="shared" si="1"/>
        <v>3293.3599999999997</v>
      </c>
      <c r="F37" s="4"/>
      <c r="G37" s="19"/>
      <c r="H37" s="19"/>
      <c r="I37" s="19"/>
      <c r="J37" s="19"/>
      <c r="K37" s="1"/>
      <c r="L37" s="19"/>
      <c r="W37" s="6"/>
      <c r="Z37" s="4"/>
      <c r="AA37" s="4"/>
    </row>
    <row r="38" spans="1:27" ht="12.75">
      <c r="A38">
        <f>A37+5</f>
        <v>70</v>
      </c>
      <c r="B38" s="4"/>
      <c r="C38" s="4">
        <v>5.94</v>
      </c>
      <c r="D38" s="4">
        <f t="shared" si="0"/>
        <v>102.60000000000001</v>
      </c>
      <c r="E38" s="4">
        <f t="shared" si="1"/>
        <v>3293.3199999999997</v>
      </c>
      <c r="F38" s="4"/>
      <c r="G38" s="19"/>
      <c r="H38" s="19"/>
      <c r="I38" s="19"/>
      <c r="J38" s="19"/>
      <c r="K38" s="1"/>
      <c r="L38" s="19"/>
      <c r="W38" s="6"/>
      <c r="Z38" s="4"/>
      <c r="AA38" s="4"/>
    </row>
    <row r="39" spans="1:27" ht="12.75">
      <c r="A39">
        <f>A38+5</f>
        <v>75</v>
      </c>
      <c r="B39" s="4"/>
      <c r="C39" s="4">
        <v>5.92</v>
      </c>
      <c r="D39" s="4">
        <f t="shared" si="0"/>
        <v>102.62</v>
      </c>
      <c r="E39" s="4">
        <f t="shared" si="1"/>
        <v>3293.3399999999997</v>
      </c>
      <c r="F39" s="4"/>
      <c r="G39" s="19"/>
      <c r="H39" s="19"/>
      <c r="I39" s="19"/>
      <c r="J39" s="19"/>
      <c r="K39" s="1"/>
      <c r="L39" s="19"/>
      <c r="W39" s="6"/>
      <c r="Z39" s="4"/>
      <c r="AA39" s="4"/>
    </row>
    <row r="40" spans="1:27" ht="12.75">
      <c r="A40">
        <f>A39+5</f>
        <v>80</v>
      </c>
      <c r="B40" s="4"/>
      <c r="C40" s="4">
        <v>5.78</v>
      </c>
      <c r="D40" s="4">
        <f t="shared" si="0"/>
        <v>102.76</v>
      </c>
      <c r="E40" s="4">
        <f t="shared" si="1"/>
        <v>3293.48</v>
      </c>
      <c r="F40" s="4"/>
      <c r="G40" s="19"/>
      <c r="H40" s="19"/>
      <c r="I40" s="19"/>
      <c r="J40" s="19"/>
      <c r="K40" s="1"/>
      <c r="L40" s="19" t="s">
        <v>64</v>
      </c>
      <c r="W40" s="6"/>
      <c r="Z40" s="4"/>
      <c r="AA40" s="4"/>
    </row>
    <row r="41" spans="1:28" ht="12.75">
      <c r="A41">
        <v>85</v>
      </c>
      <c r="C41">
        <v>5.87</v>
      </c>
      <c r="D41" s="4">
        <f t="shared" si="0"/>
        <v>102.67</v>
      </c>
      <c r="E41" s="4">
        <f t="shared" si="1"/>
        <v>3293.39</v>
      </c>
      <c r="F41" s="4"/>
      <c r="G41" s="19"/>
      <c r="H41" s="19"/>
      <c r="I41" s="19"/>
      <c r="J41" s="19"/>
      <c r="K41" s="1"/>
      <c r="L41" s="19"/>
      <c r="W41" s="6"/>
      <c r="Z41" s="4"/>
      <c r="AA41" s="4"/>
      <c r="AB41" s="4"/>
    </row>
    <row r="42" spans="1:23" ht="12.75">
      <c r="A42">
        <v>90</v>
      </c>
      <c r="C42">
        <v>6.04</v>
      </c>
      <c r="D42" s="4">
        <f t="shared" si="0"/>
        <v>102.5</v>
      </c>
      <c r="E42" s="4">
        <f t="shared" si="1"/>
        <v>3293.22</v>
      </c>
      <c r="F42" s="4"/>
      <c r="G42" s="19"/>
      <c r="H42" s="19"/>
      <c r="I42" s="19"/>
      <c r="J42" s="19"/>
      <c r="K42" s="1"/>
      <c r="L42" s="19"/>
      <c r="W42" s="6"/>
    </row>
    <row r="43" spans="1:27" ht="12.75">
      <c r="A43">
        <v>95</v>
      </c>
      <c r="C43">
        <v>6.04</v>
      </c>
      <c r="D43" s="4">
        <f t="shared" si="0"/>
        <v>102.5</v>
      </c>
      <c r="E43" s="4">
        <f t="shared" si="1"/>
        <v>3293.22</v>
      </c>
      <c r="F43" s="4"/>
      <c r="G43" s="19"/>
      <c r="H43" s="19"/>
      <c r="I43" s="19"/>
      <c r="J43" s="19"/>
      <c r="K43" s="1"/>
      <c r="L43" s="19"/>
      <c r="W43" s="6"/>
      <c r="Z43" s="4"/>
      <c r="AA43" s="4"/>
    </row>
    <row r="44" spans="1:12" ht="12.75">
      <c r="A44">
        <v>100</v>
      </c>
      <c r="C44">
        <v>5.94</v>
      </c>
      <c r="D44" s="4">
        <f t="shared" si="0"/>
        <v>102.60000000000001</v>
      </c>
      <c r="E44" s="4">
        <f t="shared" si="1"/>
        <v>3293.3199999999997</v>
      </c>
      <c r="F44" s="4"/>
      <c r="G44" s="19"/>
      <c r="H44" s="19"/>
      <c r="I44" s="19"/>
      <c r="J44" s="19"/>
      <c r="K44" s="1">
        <v>104.27</v>
      </c>
      <c r="L44" s="19"/>
    </row>
    <row r="45" spans="5:12" ht="12.75">
      <c r="E45" s="4"/>
      <c r="G45" s="19"/>
      <c r="H45" s="1">
        <f>SUM(H18:H34)</f>
        <v>10.679999999999955</v>
      </c>
      <c r="I45" s="19"/>
      <c r="J45" s="19"/>
      <c r="K45" s="1"/>
      <c r="L45" s="19"/>
    </row>
    <row r="46" spans="2:12" ht="12.75">
      <c r="B46" s="4"/>
      <c r="C46" s="4"/>
      <c r="D46" s="4" t="s">
        <v>69</v>
      </c>
      <c r="E46" s="4"/>
      <c r="F46" s="4"/>
      <c r="G46" s="19"/>
      <c r="H46" s="19"/>
      <c r="I46" s="19"/>
      <c r="J46" s="19"/>
      <c r="K46" s="1"/>
      <c r="L46" s="19"/>
    </row>
    <row r="47" spans="2:12" ht="12.75">
      <c r="B47" s="4" t="s">
        <v>15</v>
      </c>
      <c r="C47" s="4">
        <f>MAX(C8:C44)</f>
        <v>8.97</v>
      </c>
      <c r="D47" s="4">
        <v>99.57</v>
      </c>
      <c r="E47" s="4"/>
      <c r="F47" s="4"/>
      <c r="G47" s="19"/>
      <c r="H47" s="19"/>
      <c r="I47" s="19"/>
      <c r="J47" s="19"/>
      <c r="K47" s="1"/>
      <c r="L47" s="19"/>
    </row>
    <row r="48" spans="2:12" ht="12.75">
      <c r="B48" s="4" t="s">
        <v>66</v>
      </c>
      <c r="C48" s="4">
        <v>6.62</v>
      </c>
      <c r="D48" s="4">
        <f>+D17</f>
        <v>101.92</v>
      </c>
      <c r="F48" s="4"/>
      <c r="G48" s="19"/>
      <c r="H48" s="19"/>
      <c r="I48" s="19"/>
      <c r="J48" s="19"/>
      <c r="K48" s="1"/>
      <c r="L48" s="19"/>
    </row>
    <row r="49" spans="2:12" ht="12.75">
      <c r="B49" s="4" t="s">
        <v>67</v>
      </c>
      <c r="C49" s="4">
        <f>+C47-C48</f>
        <v>2.3500000000000005</v>
      </c>
      <c r="D49" s="4"/>
      <c r="E49" s="4"/>
      <c r="F49" s="4"/>
      <c r="G49" s="19"/>
      <c r="H49" s="19"/>
      <c r="I49" s="19"/>
      <c r="J49" s="19"/>
      <c r="K49" s="1"/>
      <c r="L49" s="19"/>
    </row>
    <row r="50" spans="2:12" ht="12.75">
      <c r="B50" t="s">
        <v>68</v>
      </c>
      <c r="C50" s="4"/>
      <c r="D50">
        <f>+D47+(2*C49)</f>
        <v>104.27</v>
      </c>
      <c r="E50" s="4"/>
      <c r="F50" s="4"/>
      <c r="G50" s="19"/>
      <c r="H50" s="19"/>
      <c r="I50" s="19"/>
      <c r="J50" s="19"/>
      <c r="K50" s="1"/>
      <c r="L50" s="19"/>
    </row>
    <row r="51" spans="2:12" ht="12.75">
      <c r="B51" t="s">
        <v>123</v>
      </c>
      <c r="C51" s="6" t="s">
        <v>145</v>
      </c>
      <c r="D51" s="4"/>
      <c r="E51" s="4"/>
      <c r="F51" s="4"/>
      <c r="G51" s="19"/>
      <c r="H51" s="19"/>
      <c r="I51" s="19"/>
      <c r="J51" s="19"/>
      <c r="K51" s="1"/>
      <c r="L51" s="19"/>
    </row>
    <row r="52" spans="2:12" ht="12.75">
      <c r="B52" t="s">
        <v>125</v>
      </c>
      <c r="C52" s="4">
        <v>9.5</v>
      </c>
      <c r="D52" s="4"/>
      <c r="E52" s="4"/>
      <c r="F52" s="4"/>
      <c r="G52" s="19"/>
      <c r="H52" s="19"/>
      <c r="I52" s="19"/>
      <c r="J52" s="19"/>
      <c r="K52" s="1"/>
      <c r="L52" s="19"/>
    </row>
    <row r="53" spans="2:12" ht="12.75">
      <c r="B53" t="s">
        <v>126</v>
      </c>
      <c r="C53" s="4">
        <f>+C54/C52</f>
        <v>1.1242105263157847</v>
      </c>
      <c r="D53" s="4"/>
      <c r="E53" s="4"/>
      <c r="G53" s="19"/>
      <c r="H53" s="19"/>
      <c r="I53" s="19"/>
      <c r="J53" s="19"/>
      <c r="K53" s="1"/>
      <c r="L53" s="19"/>
    </row>
    <row r="54" spans="2:11" ht="12.75">
      <c r="B54" t="s">
        <v>127</v>
      </c>
      <c r="C54" s="4">
        <f>+H45</f>
        <v>10.679999999999955</v>
      </c>
      <c r="K54" s="4"/>
    </row>
    <row r="55" spans="2:11" ht="12.75">
      <c r="B55" t="s">
        <v>130</v>
      </c>
      <c r="C55" s="4">
        <f>+C52/C53</f>
        <v>8.450374531835243</v>
      </c>
      <c r="K55" s="4"/>
    </row>
    <row r="56" spans="2:11" ht="12.75">
      <c r="B56" t="s">
        <v>131</v>
      </c>
      <c r="C56" s="6" t="s">
        <v>132</v>
      </c>
      <c r="K56" s="4"/>
    </row>
    <row r="57" ht="12.75">
      <c r="K57" s="4"/>
    </row>
    <row r="58" ht="12.75">
      <c r="K58" s="4"/>
    </row>
    <row r="59" ht="12.75">
      <c r="K59" s="4"/>
    </row>
    <row r="60" ht="12.75">
      <c r="K60" s="4"/>
    </row>
    <row r="61" ht="12.75">
      <c r="K61" s="4"/>
    </row>
    <row r="62" ht="12.75">
      <c r="K62" s="4"/>
    </row>
    <row r="63" ht="12.75">
      <c r="K63" s="4"/>
    </row>
    <row r="64" ht="12.75">
      <c r="K64" s="4"/>
    </row>
    <row r="65" ht="12.75">
      <c r="K65" s="4"/>
    </row>
    <row r="66" ht="12.75">
      <c r="K66" s="4"/>
    </row>
    <row r="67" ht="12.75">
      <c r="K67" s="4"/>
    </row>
    <row r="68" ht="12.75">
      <c r="K68" s="4"/>
    </row>
    <row r="69" ht="12.75">
      <c r="K69" s="4"/>
    </row>
    <row r="70" ht="12.75">
      <c r="K70" s="4"/>
    </row>
    <row r="71" ht="12.75">
      <c r="K71" s="4"/>
    </row>
    <row r="72" ht="12.75">
      <c r="K72" s="4"/>
    </row>
    <row r="73" ht="12.75">
      <c r="K73" s="4"/>
    </row>
    <row r="74" ht="12.75">
      <c r="K74" s="4"/>
    </row>
    <row r="75" ht="12.75">
      <c r="K75" s="4"/>
    </row>
    <row r="76" ht="12.75">
      <c r="K76" s="4"/>
    </row>
    <row r="77" ht="12.75">
      <c r="K77" s="4"/>
    </row>
    <row r="78" ht="12.75">
      <c r="K78" s="4"/>
    </row>
    <row r="79" ht="12.75">
      <c r="K79" s="4"/>
    </row>
    <row r="80" ht="12.75">
      <c r="K80" s="4"/>
    </row>
    <row r="81" ht="12.75">
      <c r="K81" s="4"/>
    </row>
    <row r="82" ht="12.75">
      <c r="K82" s="4"/>
    </row>
    <row r="83" ht="12.75">
      <c r="K83" s="4"/>
    </row>
    <row r="84" ht="12.75">
      <c r="K84" s="4"/>
    </row>
    <row r="85" ht="12.75">
      <c r="K85" s="4"/>
    </row>
    <row r="86" ht="12.75">
      <c r="K86" s="4"/>
    </row>
    <row r="87" ht="12.75">
      <c r="K87" s="4"/>
    </row>
    <row r="88" ht="12.75">
      <c r="K88" s="4"/>
    </row>
    <row r="89" ht="12.75">
      <c r="K89" s="4"/>
    </row>
    <row r="90" ht="12.75">
      <c r="K90" s="4"/>
    </row>
    <row r="91" ht="12.75">
      <c r="K91" s="4"/>
    </row>
    <row r="92" ht="12.75">
      <c r="K92" s="4"/>
    </row>
    <row r="93" ht="12.75">
      <c r="K93" s="4"/>
    </row>
    <row r="94" ht="12.75">
      <c r="K94" s="4"/>
    </row>
    <row r="95" ht="12.75">
      <c r="K95" s="4"/>
    </row>
    <row r="96" ht="12.75">
      <c r="K96" s="4"/>
    </row>
    <row r="97" ht="12.75">
      <c r="K97" s="4"/>
    </row>
    <row r="98" ht="12.75">
      <c r="K98" s="4"/>
    </row>
    <row r="99" ht="12.75">
      <c r="K99" s="4"/>
    </row>
    <row r="100" ht="12.75">
      <c r="K100" s="4"/>
    </row>
    <row r="101" ht="12.75">
      <c r="K101" s="4"/>
    </row>
    <row r="102" ht="12.75">
      <c r="K102" s="4"/>
    </row>
    <row r="103" ht="12.75">
      <c r="K103" s="4"/>
    </row>
    <row r="104" ht="12.75">
      <c r="K104" s="4"/>
    </row>
    <row r="105" ht="12.75">
      <c r="K105" s="4"/>
    </row>
    <row r="106" ht="12.75">
      <c r="K106" s="4"/>
    </row>
    <row r="107" ht="12.75">
      <c r="K107" s="4"/>
    </row>
    <row r="108" ht="12.75">
      <c r="K108" s="4"/>
    </row>
    <row r="109" ht="12.75">
      <c r="K109" s="4"/>
    </row>
    <row r="110" ht="12.75">
      <c r="K110" s="4"/>
    </row>
    <row r="111" ht="12.75">
      <c r="K111" s="4"/>
    </row>
    <row r="112" ht="12.75">
      <c r="K112" s="4"/>
    </row>
    <row r="113" ht="12.75">
      <c r="K113" s="4"/>
    </row>
    <row r="114" ht="12.75">
      <c r="K114" s="4"/>
    </row>
    <row r="115" ht="12.75">
      <c r="K115" s="4"/>
    </row>
    <row r="116" ht="12.75">
      <c r="K116" s="4"/>
    </row>
    <row r="117" ht="12.75">
      <c r="K117" s="4"/>
    </row>
    <row r="118" ht="12.75">
      <c r="K118" s="4"/>
    </row>
    <row r="119" ht="12.75">
      <c r="K119" s="4"/>
    </row>
  </sheetData>
  <printOptions/>
  <pageMargins left="0.75" right="0.75" top="1" bottom="1" header="0.5" footer="0.5"/>
  <pageSetup fitToHeight="1" fitToWidth="1" horizontalDpi="300" verticalDpi="300" orientation="portrait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0.140625" style="0" customWidth="1"/>
  </cols>
  <sheetData>
    <row r="2" spans="1:14" ht="18">
      <c r="A2" s="10" t="s">
        <v>0</v>
      </c>
      <c r="C2" s="9"/>
      <c r="D2" s="9"/>
      <c r="E2" s="9"/>
      <c r="G2" s="19"/>
      <c r="H2" s="19"/>
      <c r="I2" s="19"/>
      <c r="J2" s="19"/>
      <c r="K2" s="1"/>
      <c r="L2" s="19"/>
      <c r="M2" s="4"/>
      <c r="N2" s="4"/>
    </row>
    <row r="3" spans="1:14" ht="15.75">
      <c r="A3" s="39" t="s">
        <v>135</v>
      </c>
      <c r="F3" t="s">
        <v>88</v>
      </c>
      <c r="G3" s="19"/>
      <c r="H3" s="19"/>
      <c r="I3" s="19"/>
      <c r="J3" s="19"/>
      <c r="K3" s="1"/>
      <c r="L3" s="19"/>
      <c r="M3" s="4"/>
      <c r="N3" s="4"/>
    </row>
    <row r="4" spans="1:28" ht="12.75">
      <c r="A4" t="s">
        <v>80</v>
      </c>
      <c r="B4" s="44">
        <v>36691</v>
      </c>
      <c r="G4" s="19"/>
      <c r="H4" s="19"/>
      <c r="I4" s="19"/>
      <c r="J4" s="19"/>
      <c r="K4" s="1"/>
      <c r="L4" s="19"/>
      <c r="M4" s="4"/>
      <c r="N4" s="4"/>
      <c r="Z4" s="4"/>
      <c r="AA4" s="4"/>
      <c r="AB4" s="4"/>
    </row>
    <row r="5" spans="1:28" ht="12.75">
      <c r="A5" s="26" t="s">
        <v>1</v>
      </c>
      <c r="B5" s="7" t="s">
        <v>2</v>
      </c>
      <c r="C5" s="16"/>
      <c r="D5" s="16"/>
      <c r="E5" s="16"/>
      <c r="F5" s="16"/>
      <c r="G5" s="19"/>
      <c r="H5" s="19"/>
      <c r="I5" s="19"/>
      <c r="J5" s="19"/>
      <c r="K5" s="1"/>
      <c r="L5" s="19"/>
      <c r="M5" s="4"/>
      <c r="N5" s="4"/>
      <c r="Z5" s="4"/>
      <c r="AA5" s="4"/>
      <c r="AB5" s="4"/>
    </row>
    <row r="6" spans="1:28" ht="12.75">
      <c r="A6" s="26" t="s">
        <v>3</v>
      </c>
      <c r="B6" s="17" t="s">
        <v>5</v>
      </c>
      <c r="C6" s="17" t="s">
        <v>6</v>
      </c>
      <c r="D6" s="17" t="s">
        <v>14</v>
      </c>
      <c r="E6" s="53" t="b">
        <v>1</v>
      </c>
      <c r="F6" s="8" t="s">
        <v>7</v>
      </c>
      <c r="G6" s="8" t="s">
        <v>7</v>
      </c>
      <c r="H6" s="8" t="s">
        <v>56</v>
      </c>
      <c r="I6" s="19"/>
      <c r="J6" s="19" t="s">
        <v>56</v>
      </c>
      <c r="K6" s="1" t="s">
        <v>65</v>
      </c>
      <c r="L6" s="19"/>
      <c r="M6" s="4"/>
      <c r="N6" s="4"/>
      <c r="Z6" s="4"/>
      <c r="AA6" s="4"/>
      <c r="AB6" s="4"/>
    </row>
    <row r="7" spans="1:28" ht="12.75">
      <c r="A7" s="28" t="s">
        <v>8</v>
      </c>
      <c r="B7" s="11" t="s">
        <v>10</v>
      </c>
      <c r="C7" s="11" t="s">
        <v>11</v>
      </c>
      <c r="D7" s="40" t="s">
        <v>58</v>
      </c>
      <c r="E7" s="41" t="s">
        <v>14</v>
      </c>
      <c r="F7" s="11" t="s">
        <v>12</v>
      </c>
      <c r="G7" s="41" t="s">
        <v>14</v>
      </c>
      <c r="H7" s="61" t="s">
        <v>127</v>
      </c>
      <c r="I7" s="27" t="s">
        <v>57</v>
      </c>
      <c r="J7" s="27" t="s">
        <v>14</v>
      </c>
      <c r="K7" s="2" t="s">
        <v>14</v>
      </c>
      <c r="L7" s="27" t="s">
        <v>13</v>
      </c>
      <c r="Z7" s="4"/>
      <c r="AA7" s="4"/>
      <c r="AB7" s="4"/>
    </row>
    <row r="8" spans="1:28" ht="12.75">
      <c r="A8">
        <v>0</v>
      </c>
      <c r="B8" s="4">
        <v>111.13</v>
      </c>
      <c r="C8" s="4">
        <v>5.93</v>
      </c>
      <c r="D8" s="4">
        <f>+$B$8-C8</f>
        <v>105.19999999999999</v>
      </c>
      <c r="E8" s="4">
        <f>3290.72+D8-100</f>
        <v>3295.9199999999996</v>
      </c>
      <c r="F8" s="4"/>
      <c r="G8" s="20"/>
      <c r="H8" s="20"/>
      <c r="I8" s="20"/>
      <c r="J8" s="20"/>
      <c r="K8" s="4">
        <v>105.35</v>
      </c>
      <c r="L8" s="20" t="s">
        <v>63</v>
      </c>
      <c r="M8" s="3"/>
      <c r="N8" s="3"/>
      <c r="Z8" s="4"/>
      <c r="AA8" s="4"/>
      <c r="AB8" s="4"/>
    </row>
    <row r="9" spans="1:28" ht="12.75">
      <c r="A9">
        <f aca="true" t="shared" si="0" ref="A9:A14">A8+5</f>
        <v>5</v>
      </c>
      <c r="B9" s="4"/>
      <c r="C9" s="4">
        <v>6.04</v>
      </c>
      <c r="D9" s="4">
        <f aca="true" t="shared" si="1" ref="D9:D46">+$B$8-C9</f>
        <v>105.08999999999999</v>
      </c>
      <c r="E9" s="4">
        <f aca="true" t="shared" si="2" ref="E9:E41">3290.72+D9-100</f>
        <v>3295.81</v>
      </c>
      <c r="F9" s="4"/>
      <c r="G9" s="20"/>
      <c r="H9" s="20"/>
      <c r="I9" s="20"/>
      <c r="J9" s="20"/>
      <c r="K9" s="1"/>
      <c r="L9" s="20"/>
      <c r="M9" s="3"/>
      <c r="N9" s="3"/>
      <c r="Z9" s="4"/>
      <c r="AA9" s="4"/>
      <c r="AB9" s="4"/>
    </row>
    <row r="10" spans="1:28" ht="12.75">
      <c r="A10">
        <f t="shared" si="0"/>
        <v>10</v>
      </c>
      <c r="B10" s="4"/>
      <c r="C10" s="4">
        <v>6.06</v>
      </c>
      <c r="D10" s="4">
        <f t="shared" si="1"/>
        <v>105.07</v>
      </c>
      <c r="E10" s="4">
        <f t="shared" si="2"/>
        <v>3295.79</v>
      </c>
      <c r="F10" s="4"/>
      <c r="G10" s="1"/>
      <c r="H10" s="1"/>
      <c r="I10" s="1"/>
      <c r="J10" s="1"/>
      <c r="K10" s="1"/>
      <c r="L10" s="1"/>
      <c r="M10" s="15"/>
      <c r="N10" s="15"/>
      <c r="O10" s="3"/>
      <c r="Z10" s="4"/>
      <c r="AA10" s="4"/>
      <c r="AB10" s="4"/>
    </row>
    <row r="11" spans="1:28" ht="12.75">
      <c r="A11">
        <f t="shared" si="0"/>
        <v>15</v>
      </c>
      <c r="B11" s="4"/>
      <c r="C11" s="4">
        <v>6.12</v>
      </c>
      <c r="D11" s="4">
        <f t="shared" si="1"/>
        <v>105.00999999999999</v>
      </c>
      <c r="E11" s="4">
        <f t="shared" si="2"/>
        <v>3295.7299999999996</v>
      </c>
      <c r="F11" s="4"/>
      <c r="G11" s="1"/>
      <c r="H11" s="1"/>
      <c r="I11" s="1"/>
      <c r="J11" s="1"/>
      <c r="K11" s="1"/>
      <c r="L11" s="1"/>
      <c r="M11" s="15"/>
      <c r="N11" s="15"/>
      <c r="O11" s="3"/>
      <c r="Z11" s="4"/>
      <c r="AA11" s="4"/>
      <c r="AB11" s="4"/>
    </row>
    <row r="12" spans="1:28" ht="12.75">
      <c r="A12">
        <f t="shared" si="0"/>
        <v>20</v>
      </c>
      <c r="B12" s="4"/>
      <c r="C12" s="4">
        <v>5.9</v>
      </c>
      <c r="D12" s="4">
        <f t="shared" si="1"/>
        <v>105.22999999999999</v>
      </c>
      <c r="E12" s="4">
        <f t="shared" si="2"/>
        <v>3295.95</v>
      </c>
      <c r="F12" s="4"/>
      <c r="G12" s="20"/>
      <c r="H12" s="20"/>
      <c r="I12" s="20"/>
      <c r="J12" s="20"/>
      <c r="K12" s="1"/>
      <c r="L12" s="20"/>
      <c r="M12" s="3"/>
      <c r="N12" s="3"/>
      <c r="Z12" s="4"/>
      <c r="AA12" s="4"/>
      <c r="AB12" s="4"/>
    </row>
    <row r="13" spans="1:28" ht="12.75">
      <c r="A13">
        <f>A12+5</f>
        <v>25</v>
      </c>
      <c r="B13" s="4"/>
      <c r="C13" s="4">
        <v>6.09</v>
      </c>
      <c r="D13" s="4">
        <f t="shared" si="1"/>
        <v>105.03999999999999</v>
      </c>
      <c r="E13" s="4">
        <f t="shared" si="2"/>
        <v>3295.7599999999998</v>
      </c>
      <c r="F13" s="4"/>
      <c r="G13" s="19"/>
      <c r="H13" s="19"/>
      <c r="I13" s="19"/>
      <c r="J13" s="19"/>
      <c r="K13" s="4"/>
      <c r="L13" s="19"/>
      <c r="Z13" s="4"/>
      <c r="AA13" s="4"/>
      <c r="AB13" s="4"/>
    </row>
    <row r="14" spans="1:28" ht="12.75">
      <c r="A14">
        <f t="shared" si="0"/>
        <v>30</v>
      </c>
      <c r="B14" s="4"/>
      <c r="C14" s="4">
        <v>6.21</v>
      </c>
      <c r="D14" s="4">
        <f t="shared" si="1"/>
        <v>104.92</v>
      </c>
      <c r="E14" s="4">
        <f t="shared" si="2"/>
        <v>3295.64</v>
      </c>
      <c r="F14" s="4"/>
      <c r="G14" s="19"/>
      <c r="H14" s="19"/>
      <c r="I14" s="19"/>
      <c r="J14" s="19"/>
      <c r="K14" s="1"/>
      <c r="L14" s="19"/>
      <c r="Z14" s="4"/>
      <c r="AA14" s="4"/>
      <c r="AB14" s="4"/>
    </row>
    <row r="15" spans="1:28" ht="12.75">
      <c r="A15">
        <v>36</v>
      </c>
      <c r="B15" s="4"/>
      <c r="C15" s="4">
        <v>5.81</v>
      </c>
      <c r="D15" s="4">
        <f t="shared" si="1"/>
        <v>105.32</v>
      </c>
      <c r="E15" s="4">
        <f t="shared" si="2"/>
        <v>3296.04</v>
      </c>
      <c r="F15" s="4"/>
      <c r="G15" s="19"/>
      <c r="H15" s="19"/>
      <c r="I15" s="19"/>
      <c r="J15" s="19"/>
      <c r="K15" s="4">
        <v>105.35</v>
      </c>
      <c r="L15" s="19"/>
      <c r="Z15" s="4"/>
      <c r="AA15" s="4"/>
      <c r="AB15" s="4"/>
    </row>
    <row r="16" spans="1:28" ht="12.75">
      <c r="A16">
        <v>37</v>
      </c>
      <c r="B16" s="4"/>
      <c r="C16" s="4">
        <v>5.92</v>
      </c>
      <c r="D16" s="4">
        <f t="shared" si="1"/>
        <v>105.21</v>
      </c>
      <c r="E16" s="4">
        <f t="shared" si="2"/>
        <v>3295.93</v>
      </c>
      <c r="F16" s="4"/>
      <c r="G16" s="19"/>
      <c r="H16" s="19"/>
      <c r="I16" s="19"/>
      <c r="J16" s="19"/>
      <c r="K16" s="1"/>
      <c r="L16" s="19"/>
      <c r="Z16" s="4"/>
      <c r="AA16" s="4"/>
      <c r="AB16" s="4"/>
    </row>
    <row r="17" spans="1:28" ht="12.75">
      <c r="A17">
        <v>38</v>
      </c>
      <c r="B17" s="4"/>
      <c r="C17" s="4">
        <v>6.02</v>
      </c>
      <c r="D17" s="4">
        <f t="shared" si="1"/>
        <v>105.11</v>
      </c>
      <c r="E17" s="4">
        <f t="shared" si="2"/>
        <v>3295.83</v>
      </c>
      <c r="F17" s="4"/>
      <c r="G17" s="19"/>
      <c r="H17" s="19"/>
      <c r="I17" s="19"/>
      <c r="J17" s="19"/>
      <c r="K17" s="1"/>
      <c r="L17" s="19"/>
      <c r="Z17" s="4"/>
      <c r="AA17" s="4"/>
      <c r="AB17" s="4"/>
    </row>
    <row r="18" spans="1:28" ht="12.75">
      <c r="A18">
        <v>39</v>
      </c>
      <c r="B18" s="4"/>
      <c r="C18" s="4">
        <v>6.19</v>
      </c>
      <c r="D18" s="4">
        <f t="shared" si="1"/>
        <v>104.94</v>
      </c>
      <c r="E18" s="4">
        <f t="shared" si="2"/>
        <v>3295.66</v>
      </c>
      <c r="F18" s="4"/>
      <c r="G18" s="19"/>
      <c r="H18" s="19"/>
      <c r="I18" s="19"/>
      <c r="J18" s="4"/>
      <c r="K18" s="4"/>
      <c r="Z18" s="4"/>
      <c r="AA18" s="4"/>
      <c r="AB18" s="4"/>
    </row>
    <row r="19" spans="1:28" ht="12.75">
      <c r="A19">
        <v>40</v>
      </c>
      <c r="B19" s="4"/>
      <c r="C19" s="4">
        <v>6.52</v>
      </c>
      <c r="D19" s="4">
        <f t="shared" si="1"/>
        <v>104.61</v>
      </c>
      <c r="E19" s="4">
        <f t="shared" si="2"/>
        <v>3295.33</v>
      </c>
      <c r="F19" s="4"/>
      <c r="G19" s="1"/>
      <c r="H19" s="1"/>
      <c r="I19" s="19"/>
      <c r="J19" s="19"/>
      <c r="Z19" s="4"/>
      <c r="AA19" s="4"/>
      <c r="AB19" s="4"/>
    </row>
    <row r="20" spans="1:28" ht="12.75">
      <c r="A20">
        <v>40.5</v>
      </c>
      <c r="B20" s="4"/>
      <c r="C20" s="4">
        <v>6.59</v>
      </c>
      <c r="D20" s="4">
        <f t="shared" si="1"/>
        <v>104.53999999999999</v>
      </c>
      <c r="E20" s="4">
        <f t="shared" si="2"/>
        <v>3295.2599999999998</v>
      </c>
      <c r="F20" s="4"/>
      <c r="G20" s="1"/>
      <c r="H20" s="1"/>
      <c r="I20" s="19"/>
      <c r="J20" s="19"/>
      <c r="K20" s="1"/>
      <c r="L20" s="19" t="s">
        <v>78</v>
      </c>
      <c r="Z20" s="4"/>
      <c r="AA20" s="4"/>
      <c r="AB20" s="4"/>
    </row>
    <row r="21" spans="1:28" ht="12.75">
      <c r="A21">
        <v>41</v>
      </c>
      <c r="B21" s="4"/>
      <c r="C21" s="4">
        <v>6.83</v>
      </c>
      <c r="D21" s="4">
        <f t="shared" si="1"/>
        <v>104.3</v>
      </c>
      <c r="E21" s="4">
        <f t="shared" si="2"/>
        <v>3295.02</v>
      </c>
      <c r="F21" s="4"/>
      <c r="G21" s="1"/>
      <c r="H21" s="1"/>
      <c r="I21" s="19"/>
      <c r="J21" s="19"/>
      <c r="K21" s="1"/>
      <c r="L21" s="19"/>
      <c r="Z21" s="4"/>
      <c r="AA21" s="4"/>
      <c r="AB21" s="4"/>
    </row>
    <row r="22" spans="1:28" ht="12.75">
      <c r="A22">
        <v>41.1</v>
      </c>
      <c r="B22" s="4"/>
      <c r="C22" s="4">
        <v>6.98</v>
      </c>
      <c r="D22" s="4">
        <v>104.15</v>
      </c>
      <c r="E22" s="4">
        <v>3294.87</v>
      </c>
      <c r="F22" s="4"/>
      <c r="G22" s="1"/>
      <c r="I22" s="19"/>
      <c r="J22" s="19">
        <v>104.15</v>
      </c>
      <c r="K22" s="1"/>
      <c r="L22" s="19" t="s">
        <v>72</v>
      </c>
      <c r="Z22" s="4"/>
      <c r="AA22" s="4"/>
      <c r="AB22" s="4"/>
    </row>
    <row r="23" spans="1:28" ht="12.75">
      <c r="A23">
        <v>41.5</v>
      </c>
      <c r="B23" s="4"/>
      <c r="C23" s="4">
        <v>7.34</v>
      </c>
      <c r="D23" s="4">
        <f t="shared" si="1"/>
        <v>103.78999999999999</v>
      </c>
      <c r="E23" s="4">
        <f t="shared" si="2"/>
        <v>3294.5099999999998</v>
      </c>
      <c r="F23" s="4"/>
      <c r="G23" s="1"/>
      <c r="H23" s="1">
        <f>+(A23-A22)*($D$22-D23)*0.5</f>
        <v>0.07200000000000248</v>
      </c>
      <c r="I23" s="19"/>
      <c r="J23" s="19">
        <v>104.15</v>
      </c>
      <c r="K23" s="1"/>
      <c r="L23" s="19" t="s">
        <v>121</v>
      </c>
      <c r="Z23" s="4"/>
      <c r="AA23" s="4"/>
      <c r="AB23" s="4"/>
    </row>
    <row r="24" spans="1:28" ht="12.75">
      <c r="A24">
        <v>42</v>
      </c>
      <c r="B24" s="4"/>
      <c r="C24" s="4">
        <v>7.75</v>
      </c>
      <c r="D24" s="4">
        <f t="shared" si="1"/>
        <v>103.38</v>
      </c>
      <c r="E24" s="4">
        <f t="shared" si="2"/>
        <v>3294.1</v>
      </c>
      <c r="F24" s="4">
        <v>0</v>
      </c>
      <c r="G24" s="1">
        <f aca="true" t="shared" si="3" ref="G24:G34">+D24+F24</f>
        <v>103.38</v>
      </c>
      <c r="H24" s="1">
        <f>+(A24-A23)*($D$22-D24)</f>
        <v>0.3850000000000051</v>
      </c>
      <c r="I24" s="19"/>
      <c r="J24" s="19">
        <v>104.15</v>
      </c>
      <c r="K24" s="1"/>
      <c r="L24" s="19" t="s">
        <v>61</v>
      </c>
      <c r="Z24" s="4"/>
      <c r="AA24" s="4"/>
      <c r="AB24" s="4"/>
    </row>
    <row r="25" spans="1:28" ht="12.75">
      <c r="A25">
        <v>43</v>
      </c>
      <c r="B25" s="4"/>
      <c r="C25" s="4">
        <v>8.02</v>
      </c>
      <c r="D25" s="4">
        <f t="shared" si="1"/>
        <v>103.11</v>
      </c>
      <c r="E25" s="4">
        <f t="shared" si="2"/>
        <v>3293.83</v>
      </c>
      <c r="F25" s="4">
        <v>0.22</v>
      </c>
      <c r="G25" s="1">
        <f t="shared" si="3"/>
        <v>103.33</v>
      </c>
      <c r="H25" s="1">
        <f aca="true" t="shared" si="4" ref="H25:H35">+(A25-A24)*($D$22-D25)</f>
        <v>1.0400000000000063</v>
      </c>
      <c r="I25" s="19"/>
      <c r="J25" s="19">
        <v>104.15</v>
      </c>
      <c r="K25" s="1"/>
      <c r="L25" s="19"/>
      <c r="Z25" s="4"/>
      <c r="AA25" s="4"/>
      <c r="AB25" s="4"/>
    </row>
    <row r="26" spans="1:28" ht="12.75">
      <c r="A26">
        <v>44</v>
      </c>
      <c r="B26" s="4"/>
      <c r="C26" s="4">
        <v>8.12</v>
      </c>
      <c r="D26" s="4">
        <f t="shared" si="1"/>
        <v>103.00999999999999</v>
      </c>
      <c r="E26" s="4">
        <f t="shared" si="2"/>
        <v>3293.7299999999996</v>
      </c>
      <c r="F26" s="4">
        <v>0.32</v>
      </c>
      <c r="G26" s="1">
        <f t="shared" si="3"/>
        <v>103.32999999999998</v>
      </c>
      <c r="H26" s="1">
        <f t="shared" si="4"/>
        <v>1.1400000000000148</v>
      </c>
      <c r="I26" s="19"/>
      <c r="J26" s="19">
        <v>104.15</v>
      </c>
      <c r="K26" s="1"/>
      <c r="L26" s="19"/>
      <c r="Z26" s="4"/>
      <c r="AA26" s="4"/>
      <c r="AB26" s="4"/>
    </row>
    <row r="27" spans="1:28" ht="12.75">
      <c r="A27">
        <v>45</v>
      </c>
      <c r="B27" s="4"/>
      <c r="C27" s="4">
        <v>8.18</v>
      </c>
      <c r="D27" s="4">
        <f t="shared" si="1"/>
        <v>102.94999999999999</v>
      </c>
      <c r="E27" s="4">
        <f t="shared" si="2"/>
        <v>3293.6699999999996</v>
      </c>
      <c r="F27" s="4">
        <v>0.4</v>
      </c>
      <c r="G27" s="1">
        <f t="shared" si="3"/>
        <v>103.35</v>
      </c>
      <c r="H27" s="1">
        <f t="shared" si="4"/>
        <v>1.200000000000017</v>
      </c>
      <c r="I27" s="19"/>
      <c r="J27" s="19">
        <v>104.15</v>
      </c>
      <c r="K27" s="1"/>
      <c r="L27" s="19"/>
      <c r="X27" s="14"/>
      <c r="Z27" s="4"/>
      <c r="AA27" s="4"/>
      <c r="AB27" s="4"/>
    </row>
    <row r="28" spans="1:28" ht="12.75">
      <c r="A28">
        <v>46</v>
      </c>
      <c r="B28" s="4"/>
      <c r="C28" s="4">
        <v>8.15</v>
      </c>
      <c r="D28" s="4">
        <f t="shared" si="1"/>
        <v>102.97999999999999</v>
      </c>
      <c r="E28" s="4">
        <f t="shared" si="2"/>
        <v>3293.7</v>
      </c>
      <c r="F28" s="4">
        <v>0.39</v>
      </c>
      <c r="G28" s="1">
        <f t="shared" si="3"/>
        <v>103.36999999999999</v>
      </c>
      <c r="H28" s="1">
        <f t="shared" si="4"/>
        <v>1.170000000000016</v>
      </c>
      <c r="I28" s="1"/>
      <c r="J28" s="19">
        <v>104.15</v>
      </c>
      <c r="K28" s="1"/>
      <c r="L28" s="19"/>
      <c r="Z28" s="4"/>
      <c r="AA28" s="4"/>
      <c r="AB28" s="4"/>
    </row>
    <row r="29" spans="1:28" ht="12.75">
      <c r="A29">
        <v>47</v>
      </c>
      <c r="B29" s="4"/>
      <c r="C29" s="4">
        <v>8.1</v>
      </c>
      <c r="D29" s="4">
        <f t="shared" si="1"/>
        <v>103.03</v>
      </c>
      <c r="E29" s="4">
        <f t="shared" si="2"/>
        <v>3293.75</v>
      </c>
      <c r="F29" s="4">
        <v>0.32</v>
      </c>
      <c r="G29" s="1">
        <f t="shared" si="3"/>
        <v>103.35</v>
      </c>
      <c r="H29" s="1">
        <f t="shared" si="4"/>
        <v>1.1200000000000045</v>
      </c>
      <c r="I29" s="1"/>
      <c r="J29" s="19">
        <v>104.15</v>
      </c>
      <c r="K29" s="1"/>
      <c r="L29" s="19"/>
      <c r="Z29" s="4"/>
      <c r="AA29" s="4"/>
      <c r="AB29" s="4"/>
    </row>
    <row r="30" spans="1:28" ht="12.75">
      <c r="A30">
        <v>48</v>
      </c>
      <c r="B30" s="4"/>
      <c r="C30" s="4">
        <v>8.11</v>
      </c>
      <c r="D30" s="4">
        <f t="shared" si="1"/>
        <v>103.02</v>
      </c>
      <c r="E30" s="4">
        <f t="shared" si="2"/>
        <v>3293.74</v>
      </c>
      <c r="F30" s="4">
        <v>0.33</v>
      </c>
      <c r="G30" s="1">
        <f t="shared" si="3"/>
        <v>103.35</v>
      </c>
      <c r="H30" s="1">
        <f t="shared" si="4"/>
        <v>1.1300000000000097</v>
      </c>
      <c r="I30" s="1"/>
      <c r="J30" s="19">
        <v>104.15</v>
      </c>
      <c r="K30" s="1"/>
      <c r="Z30" s="4"/>
      <c r="AA30" s="4"/>
      <c r="AB30" s="4"/>
    </row>
    <row r="31" spans="1:28" ht="12.75">
      <c r="A31">
        <v>49</v>
      </c>
      <c r="B31" s="4"/>
      <c r="C31" s="4">
        <v>8.06</v>
      </c>
      <c r="D31" s="4">
        <f t="shared" si="1"/>
        <v>103.07</v>
      </c>
      <c r="E31" s="4">
        <f t="shared" si="2"/>
        <v>3293.79</v>
      </c>
      <c r="F31" s="4">
        <v>0.27</v>
      </c>
      <c r="G31" s="1">
        <f t="shared" si="3"/>
        <v>103.33999999999999</v>
      </c>
      <c r="H31" s="1">
        <f t="shared" si="4"/>
        <v>1.0800000000000125</v>
      </c>
      <c r="I31" s="1"/>
      <c r="J31" s="19">
        <v>104.15</v>
      </c>
      <c r="K31" s="1"/>
      <c r="L31" s="19"/>
      <c r="Z31" s="4"/>
      <c r="AA31" s="4"/>
      <c r="AB31" s="4"/>
    </row>
    <row r="32" spans="1:28" ht="12.75">
      <c r="A32">
        <v>50</v>
      </c>
      <c r="B32" s="4"/>
      <c r="C32" s="4">
        <v>8.08</v>
      </c>
      <c r="D32" s="4">
        <f t="shared" si="1"/>
        <v>103.05</v>
      </c>
      <c r="E32" s="4">
        <f t="shared" si="2"/>
        <v>3293.77</v>
      </c>
      <c r="F32" s="4">
        <v>0.3</v>
      </c>
      <c r="G32" s="1">
        <f t="shared" si="3"/>
        <v>103.35</v>
      </c>
      <c r="H32" s="1">
        <f t="shared" si="4"/>
        <v>1.1000000000000085</v>
      </c>
      <c r="I32" s="1"/>
      <c r="J32" s="19">
        <v>104.15</v>
      </c>
      <c r="K32" s="1"/>
      <c r="Z32" s="4"/>
      <c r="AA32" s="4"/>
      <c r="AB32" s="4"/>
    </row>
    <row r="33" spans="1:28" ht="12.75">
      <c r="A33">
        <v>51</v>
      </c>
      <c r="B33" s="4"/>
      <c r="C33" s="4">
        <v>8.1</v>
      </c>
      <c r="D33" s="4">
        <f t="shared" si="1"/>
        <v>103.03</v>
      </c>
      <c r="E33" s="4">
        <f t="shared" si="2"/>
        <v>3293.75</v>
      </c>
      <c r="F33" s="4">
        <v>0.33</v>
      </c>
      <c r="G33" s="1">
        <f t="shared" si="3"/>
        <v>103.36</v>
      </c>
      <c r="H33" s="1">
        <f t="shared" si="4"/>
        <v>1.1200000000000045</v>
      </c>
      <c r="I33" s="1"/>
      <c r="J33" s="19">
        <v>104.15</v>
      </c>
      <c r="K33" s="1"/>
      <c r="L33" s="19"/>
      <c r="Z33" s="4"/>
      <c r="AA33" s="4"/>
      <c r="AB33" s="4"/>
    </row>
    <row r="34" spans="1:28" ht="12.75">
      <c r="A34">
        <v>52.2</v>
      </c>
      <c r="B34" s="4"/>
      <c r="C34" s="4">
        <v>7.78</v>
      </c>
      <c r="D34" s="4">
        <f t="shared" si="1"/>
        <v>103.35</v>
      </c>
      <c r="E34" s="4">
        <f t="shared" si="2"/>
        <v>3294.0699999999997</v>
      </c>
      <c r="F34" s="4">
        <v>0</v>
      </c>
      <c r="G34" s="1">
        <f t="shared" si="3"/>
        <v>103.35</v>
      </c>
      <c r="H34" s="1">
        <f t="shared" si="4"/>
        <v>0.960000000000016</v>
      </c>
      <c r="I34" s="19"/>
      <c r="J34" s="19">
        <v>104.15</v>
      </c>
      <c r="K34" s="1"/>
      <c r="L34" s="19" t="s">
        <v>62</v>
      </c>
      <c r="X34" s="6"/>
      <c r="AA34" s="4"/>
      <c r="AB34" s="4"/>
    </row>
    <row r="35" spans="1:28" ht="12.75">
      <c r="A35">
        <v>53</v>
      </c>
      <c r="B35" s="4"/>
      <c r="C35" s="4">
        <v>7.35</v>
      </c>
      <c r="D35" s="4">
        <f t="shared" si="1"/>
        <v>103.78</v>
      </c>
      <c r="E35" s="4">
        <f t="shared" si="2"/>
        <v>3294.5</v>
      </c>
      <c r="F35" s="4"/>
      <c r="G35" s="19"/>
      <c r="H35" s="1">
        <f t="shared" si="4"/>
        <v>0.2960000000000026</v>
      </c>
      <c r="I35" s="19"/>
      <c r="J35" s="19">
        <v>104.15</v>
      </c>
      <c r="K35" s="1"/>
      <c r="L35" s="19" t="s">
        <v>120</v>
      </c>
      <c r="X35" s="6"/>
      <c r="AA35" s="4"/>
      <c r="AB35" s="4"/>
    </row>
    <row r="36" spans="1:28" ht="12.75">
      <c r="A36">
        <v>54</v>
      </c>
      <c r="B36" s="4"/>
      <c r="C36" s="4">
        <v>6.98</v>
      </c>
      <c r="D36" s="4">
        <f t="shared" si="1"/>
        <v>104.14999999999999</v>
      </c>
      <c r="E36" s="4">
        <f t="shared" si="2"/>
        <v>3294.87</v>
      </c>
      <c r="F36" s="4"/>
      <c r="G36" s="19"/>
      <c r="H36" s="1">
        <f>+(A36-A35)*($D$22-D35)</f>
        <v>0.37000000000000455</v>
      </c>
      <c r="I36" s="19"/>
      <c r="J36" s="19">
        <v>104.15</v>
      </c>
      <c r="K36" s="1"/>
      <c r="L36" s="19" t="s">
        <v>72</v>
      </c>
      <c r="X36" s="6"/>
      <c r="AA36" s="4"/>
      <c r="AB36" s="4"/>
    </row>
    <row r="37" spans="1:28" ht="12.75">
      <c r="A37">
        <v>55</v>
      </c>
      <c r="B37" s="4"/>
      <c r="C37" s="4">
        <v>6.85</v>
      </c>
      <c r="D37" s="4">
        <f t="shared" si="1"/>
        <v>104.28</v>
      </c>
      <c r="E37" s="4">
        <f t="shared" si="2"/>
        <v>3295</v>
      </c>
      <c r="F37" s="4"/>
      <c r="G37" s="19"/>
      <c r="H37" s="19"/>
      <c r="I37" s="19"/>
      <c r="J37" s="19"/>
      <c r="K37" s="1"/>
      <c r="L37" s="19"/>
      <c r="X37" s="6"/>
      <c r="Z37" s="4"/>
      <c r="AA37" s="4"/>
      <c r="AB37" s="4"/>
    </row>
    <row r="38" spans="1:28" ht="12.75">
      <c r="A38">
        <v>60</v>
      </c>
      <c r="B38" s="4"/>
      <c r="C38" s="4">
        <v>6.61</v>
      </c>
      <c r="D38" s="4">
        <f t="shared" si="1"/>
        <v>104.52</v>
      </c>
      <c r="E38" s="4">
        <f t="shared" si="2"/>
        <v>3295.24</v>
      </c>
      <c r="F38" s="4"/>
      <c r="G38" s="19"/>
      <c r="H38" s="19"/>
      <c r="I38" s="19"/>
      <c r="J38" s="19"/>
      <c r="K38" s="1"/>
      <c r="L38" s="19"/>
      <c r="X38" s="6"/>
      <c r="AA38" s="4"/>
      <c r="AB38" s="4"/>
    </row>
    <row r="39" spans="1:28" ht="12.75">
      <c r="A39">
        <v>65</v>
      </c>
      <c r="B39" s="4"/>
      <c r="C39" s="4">
        <v>6.45</v>
      </c>
      <c r="D39" s="4">
        <f t="shared" si="1"/>
        <v>104.67999999999999</v>
      </c>
      <c r="E39" s="4">
        <f t="shared" si="2"/>
        <v>3295.3999999999996</v>
      </c>
      <c r="F39" s="4"/>
      <c r="G39" s="19"/>
      <c r="H39" s="19"/>
      <c r="I39" s="19"/>
      <c r="J39" s="19"/>
      <c r="K39" s="1">
        <v>105.35</v>
      </c>
      <c r="L39" s="19"/>
      <c r="X39" s="6"/>
      <c r="AA39" s="4"/>
      <c r="AB39" s="4"/>
    </row>
    <row r="40" spans="1:28" ht="12.75">
      <c r="A40">
        <v>70</v>
      </c>
      <c r="B40" s="4"/>
      <c r="C40" s="4">
        <v>6.38</v>
      </c>
      <c r="D40" s="4">
        <f t="shared" si="1"/>
        <v>104.75</v>
      </c>
      <c r="E40" s="4">
        <f t="shared" si="2"/>
        <v>3295.47</v>
      </c>
      <c r="F40" s="4"/>
      <c r="G40" s="19"/>
      <c r="H40" s="19"/>
      <c r="I40" s="19"/>
      <c r="J40" s="19"/>
      <c r="L40" s="19"/>
      <c r="X40" s="6"/>
      <c r="AA40" s="4"/>
      <c r="AB40" s="4"/>
    </row>
    <row r="41" spans="1:28" ht="12.75">
      <c r="A41">
        <v>75</v>
      </c>
      <c r="B41" s="4"/>
      <c r="C41" s="4">
        <v>6.49</v>
      </c>
      <c r="D41" s="4">
        <f t="shared" si="1"/>
        <v>104.64</v>
      </c>
      <c r="E41" s="4">
        <f t="shared" si="2"/>
        <v>3295.3599999999997</v>
      </c>
      <c r="F41" s="4"/>
      <c r="G41" s="19"/>
      <c r="H41" s="19"/>
      <c r="I41" s="19"/>
      <c r="J41" s="19"/>
      <c r="L41" s="19" t="s">
        <v>64</v>
      </c>
      <c r="X41" s="6"/>
      <c r="AA41" s="4"/>
      <c r="AB41" s="4"/>
    </row>
    <row r="42" spans="1:29" ht="12.75">
      <c r="A42">
        <v>80</v>
      </c>
      <c r="C42">
        <v>6.55</v>
      </c>
      <c r="D42" s="4">
        <f t="shared" si="1"/>
        <v>104.58</v>
      </c>
      <c r="F42" s="4"/>
      <c r="G42" s="19"/>
      <c r="H42" s="19"/>
      <c r="I42" s="19"/>
      <c r="J42" s="19"/>
      <c r="K42" s="1"/>
      <c r="L42" s="19"/>
      <c r="X42" s="6"/>
      <c r="AA42" s="4"/>
      <c r="AB42" s="4"/>
      <c r="AC42" s="4"/>
    </row>
    <row r="43" spans="1:24" ht="12.75">
      <c r="A43">
        <v>85</v>
      </c>
      <c r="C43">
        <v>6.53</v>
      </c>
      <c r="D43" s="4">
        <f t="shared" si="1"/>
        <v>104.6</v>
      </c>
      <c r="F43" s="4"/>
      <c r="G43" s="19"/>
      <c r="H43" s="19"/>
      <c r="I43" s="19"/>
      <c r="J43" s="19"/>
      <c r="K43" s="1"/>
      <c r="X43" s="6"/>
    </row>
    <row r="44" spans="1:28" ht="12.75">
      <c r="A44">
        <v>90</v>
      </c>
      <c r="B44" s="4"/>
      <c r="C44" s="4">
        <v>6.64</v>
      </c>
      <c r="D44" s="4">
        <f t="shared" si="1"/>
        <v>104.49</v>
      </c>
      <c r="E44" s="4"/>
      <c r="F44" s="4"/>
      <c r="G44" s="19"/>
      <c r="H44" s="19"/>
      <c r="I44" s="19"/>
      <c r="J44" s="19"/>
      <c r="K44" s="1"/>
      <c r="L44" s="19"/>
      <c r="X44" s="6"/>
      <c r="AA44" s="4"/>
      <c r="AB44" s="4"/>
    </row>
    <row r="45" spans="1:10" ht="12.75">
      <c r="A45">
        <v>95</v>
      </c>
      <c r="C45" s="4">
        <v>6.61</v>
      </c>
      <c r="D45" s="4">
        <f t="shared" si="1"/>
        <v>104.52</v>
      </c>
      <c r="E45" s="4"/>
      <c r="F45" s="4"/>
      <c r="G45" s="19"/>
      <c r="H45" s="19"/>
      <c r="I45" s="19"/>
      <c r="J45" s="19"/>
    </row>
    <row r="46" spans="1:12" ht="12.75">
      <c r="A46">
        <v>100</v>
      </c>
      <c r="C46" s="4">
        <v>6.78</v>
      </c>
      <c r="D46" s="4">
        <f t="shared" si="1"/>
        <v>104.35</v>
      </c>
      <c r="E46" s="4"/>
      <c r="G46" s="19"/>
      <c r="H46" s="19"/>
      <c r="I46" s="19"/>
      <c r="J46" s="19"/>
      <c r="K46" s="1">
        <v>105.35</v>
      </c>
      <c r="L46" s="19"/>
    </row>
    <row r="47" spans="5:12" ht="12.75">
      <c r="E47" s="4"/>
      <c r="F47" s="4"/>
      <c r="G47" s="19"/>
      <c r="H47" s="19"/>
      <c r="I47" s="19"/>
      <c r="J47" s="19"/>
      <c r="K47" s="1">
        <v>105.35</v>
      </c>
      <c r="L47" s="19" t="s">
        <v>65</v>
      </c>
    </row>
    <row r="48" spans="3:12" ht="12.75">
      <c r="C48" s="4"/>
      <c r="F48" s="4"/>
      <c r="G48" s="19"/>
      <c r="H48" s="19"/>
      <c r="I48" s="19"/>
      <c r="J48" s="19"/>
      <c r="K48" s="1"/>
      <c r="L48" s="19"/>
    </row>
    <row r="49" spans="2:12" ht="12.75">
      <c r="B49" s="4"/>
      <c r="D49" s="4" t="s">
        <v>69</v>
      </c>
      <c r="F49" s="4">
        <f>AVERAGE(F24:F34)</f>
        <v>0.2618181818181818</v>
      </c>
      <c r="G49" s="19"/>
      <c r="H49" s="1">
        <f>+SUM(H23:H36)</f>
        <v>12.183000000000124</v>
      </c>
      <c r="I49" s="19"/>
      <c r="J49" s="19"/>
      <c r="K49" s="1"/>
      <c r="L49" s="19"/>
    </row>
    <row r="50" spans="2:12" ht="12.75">
      <c r="B50" s="4" t="s">
        <v>15</v>
      </c>
      <c r="C50" s="4">
        <f>MAX(C8:C46)</f>
        <v>8.18</v>
      </c>
      <c r="D50" s="4">
        <v>102.95</v>
      </c>
      <c r="E50" s="4"/>
      <c r="F50" s="4"/>
      <c r="G50" s="19"/>
      <c r="H50" s="19"/>
      <c r="I50" s="19"/>
      <c r="J50" s="19"/>
      <c r="K50" s="1"/>
      <c r="L50" s="19"/>
    </row>
    <row r="51" spans="2:12" ht="12.75">
      <c r="B51" s="4" t="s">
        <v>66</v>
      </c>
      <c r="C51" s="4">
        <v>6.98</v>
      </c>
      <c r="D51" s="4">
        <v>104.15</v>
      </c>
      <c r="E51" s="4"/>
      <c r="F51" s="4"/>
      <c r="G51" s="19"/>
      <c r="H51" s="19"/>
      <c r="I51" s="19"/>
      <c r="J51" s="19"/>
      <c r="K51" s="1"/>
      <c r="L51" s="19"/>
    </row>
    <row r="52" spans="2:12" ht="12.75">
      <c r="B52" s="4" t="s">
        <v>67</v>
      </c>
      <c r="C52" s="4">
        <f>+C50-C51</f>
        <v>1.1999999999999993</v>
      </c>
      <c r="D52" s="4"/>
      <c r="E52" s="4"/>
      <c r="F52" s="4"/>
      <c r="G52" s="19"/>
      <c r="H52" s="19"/>
      <c r="I52" s="19"/>
      <c r="J52" s="19"/>
      <c r="K52" s="1"/>
      <c r="L52" s="19"/>
    </row>
    <row r="53" spans="2:12" ht="12.75">
      <c r="B53" t="s">
        <v>68</v>
      </c>
      <c r="C53" s="4"/>
      <c r="D53">
        <f>+D50+(2*C52)</f>
        <v>105.35</v>
      </c>
      <c r="E53" s="42"/>
      <c r="F53" s="4"/>
      <c r="G53" s="19"/>
      <c r="H53" s="19"/>
      <c r="I53" s="19"/>
      <c r="J53" s="19"/>
      <c r="K53" s="1"/>
      <c r="L53" s="19"/>
    </row>
    <row r="54" spans="2:11" ht="12.75">
      <c r="B54" t="s">
        <v>123</v>
      </c>
      <c r="C54" s="6"/>
      <c r="D54">
        <v>285</v>
      </c>
      <c r="K54" s="4"/>
    </row>
    <row r="55" spans="2:11" ht="12.75">
      <c r="B55" t="s">
        <v>125</v>
      </c>
      <c r="C55">
        <f>+A36-A22</f>
        <v>12.899999999999999</v>
      </c>
      <c r="K55" s="4"/>
    </row>
    <row r="56" spans="2:11" ht="12.75">
      <c r="B56" t="s">
        <v>126</v>
      </c>
      <c r="C56" s="4">
        <f>+C57/C55</f>
        <v>0.9444186046511726</v>
      </c>
      <c r="K56" s="4"/>
    </row>
    <row r="57" spans="2:11" ht="12.75">
      <c r="B57" t="s">
        <v>127</v>
      </c>
      <c r="C57" s="4">
        <f>+H49</f>
        <v>12.183000000000124</v>
      </c>
      <c r="K57" s="4"/>
    </row>
    <row r="58" spans="2:11" ht="12.75">
      <c r="B58" t="s">
        <v>130</v>
      </c>
      <c r="C58" s="4">
        <f>+C55/C56</f>
        <v>13.659197242058463</v>
      </c>
      <c r="K58" s="4"/>
    </row>
    <row r="59" spans="2:11" ht="12.75">
      <c r="B59" t="s">
        <v>131</v>
      </c>
      <c r="C59" s="6" t="s">
        <v>134</v>
      </c>
      <c r="K59" s="4"/>
    </row>
    <row r="60" ht="12.75">
      <c r="K60" s="4"/>
    </row>
    <row r="61" ht="12.75">
      <c r="K61" s="4"/>
    </row>
    <row r="62" ht="12.75">
      <c r="K62" s="4"/>
    </row>
    <row r="63" ht="12.75">
      <c r="K63" s="4"/>
    </row>
    <row r="64" ht="12.75">
      <c r="K64" s="4"/>
    </row>
    <row r="65" ht="12.75">
      <c r="K65" s="4"/>
    </row>
    <row r="66" ht="12.75">
      <c r="K66" s="4"/>
    </row>
    <row r="67" ht="12.75">
      <c r="K67" s="4"/>
    </row>
    <row r="68" ht="12.75">
      <c r="K68" s="4"/>
    </row>
    <row r="69" ht="12.75">
      <c r="K69" s="4"/>
    </row>
    <row r="70" ht="12.75">
      <c r="K70" s="4"/>
    </row>
    <row r="71" ht="12.75">
      <c r="K71" s="4"/>
    </row>
    <row r="72" ht="12.75">
      <c r="K72" s="4"/>
    </row>
    <row r="73" ht="12.75">
      <c r="K73" s="4"/>
    </row>
    <row r="74" ht="12.75">
      <c r="K74" s="4"/>
    </row>
    <row r="75" ht="12.75">
      <c r="K75" s="4"/>
    </row>
    <row r="76" ht="12.75">
      <c r="K76" s="4"/>
    </row>
    <row r="77" ht="12.75">
      <c r="K77" s="4"/>
    </row>
    <row r="78" ht="12.75">
      <c r="K78" s="4"/>
    </row>
    <row r="79" ht="12.75">
      <c r="K79" s="4"/>
    </row>
    <row r="80" ht="12.75">
      <c r="K80" s="4"/>
    </row>
    <row r="81" ht="12.75">
      <c r="K81" s="4"/>
    </row>
    <row r="82" ht="12.75">
      <c r="K82" s="4"/>
    </row>
    <row r="83" ht="12.75">
      <c r="K83" s="4"/>
    </row>
    <row r="84" ht="12.75">
      <c r="K84" s="4"/>
    </row>
    <row r="85" ht="12.75">
      <c r="K85" s="4"/>
    </row>
    <row r="86" ht="12.75">
      <c r="K86" s="4"/>
    </row>
    <row r="87" ht="12.75">
      <c r="K87" s="4"/>
    </row>
    <row r="88" ht="12.75">
      <c r="K88" s="4"/>
    </row>
    <row r="89" ht="12.75">
      <c r="K89" s="4"/>
    </row>
    <row r="90" ht="12.75">
      <c r="K90" s="4"/>
    </row>
    <row r="91" ht="12.75">
      <c r="K91" s="4"/>
    </row>
    <row r="92" ht="12.75">
      <c r="K92" s="4"/>
    </row>
    <row r="93" ht="12.75">
      <c r="K93" s="4"/>
    </row>
    <row r="94" ht="12.75">
      <c r="K94" s="4"/>
    </row>
    <row r="95" ht="12.75">
      <c r="K95" s="4"/>
    </row>
    <row r="96" ht="12.75">
      <c r="K96" s="4"/>
    </row>
    <row r="97" ht="12.75">
      <c r="K97" s="4"/>
    </row>
    <row r="98" ht="12.75">
      <c r="K98" s="4"/>
    </row>
    <row r="99" ht="12.75">
      <c r="K99" s="4"/>
    </row>
    <row r="100" ht="12.75">
      <c r="K100" s="4"/>
    </row>
    <row r="101" ht="12.75">
      <c r="K101" s="4"/>
    </row>
    <row r="102" ht="12.75">
      <c r="K102" s="4"/>
    </row>
    <row r="103" ht="12.75">
      <c r="K103" s="4"/>
    </row>
    <row r="104" ht="12.75">
      <c r="K104" s="4"/>
    </row>
    <row r="105" ht="12.75">
      <c r="K105" s="4"/>
    </row>
    <row r="106" ht="12.75">
      <c r="K106" s="4"/>
    </row>
    <row r="107" ht="12.75">
      <c r="K107" s="4"/>
    </row>
    <row r="108" ht="12.75">
      <c r="K108" s="4"/>
    </row>
    <row r="109" ht="12.75">
      <c r="K109" s="4"/>
    </row>
    <row r="110" ht="12.75">
      <c r="K110" s="4"/>
    </row>
    <row r="111" ht="12.75">
      <c r="K111" s="4"/>
    </row>
    <row r="112" ht="12.75">
      <c r="K112" s="4"/>
    </row>
    <row r="113" ht="12.75">
      <c r="K113" s="4"/>
    </row>
    <row r="114" ht="12.75">
      <c r="K114" s="4"/>
    </row>
    <row r="115" ht="12.75">
      <c r="K115" s="4"/>
    </row>
    <row r="116" ht="12.75">
      <c r="K116" s="4"/>
    </row>
    <row r="117" ht="12.75">
      <c r="K117" s="4"/>
    </row>
    <row r="118" ht="12.75">
      <c r="K118" s="4"/>
    </row>
    <row r="119" ht="12.75">
      <c r="K119" s="4"/>
    </row>
  </sheetData>
  <printOptions/>
  <pageMargins left="0.75" right="0.75" top="1" bottom="1" header="0.5" footer="0.5"/>
  <pageSetup fitToHeight="1" fitToWidth="1" horizontalDpi="300" verticalDpi="300" orientation="portrait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0.28125" style="0" customWidth="1"/>
    <col min="3" max="3" width="8.7109375" style="0" customWidth="1"/>
    <col min="4" max="4" width="8.140625" style="0" customWidth="1"/>
    <col min="6" max="6" width="7.8515625" style="0" customWidth="1"/>
    <col min="12" max="12" width="14.28125" style="0" customWidth="1"/>
    <col min="13" max="13" width="8.00390625" style="0" customWidth="1"/>
  </cols>
  <sheetData>
    <row r="1" spans="7:12" ht="12.75">
      <c r="G1" s="19"/>
      <c r="H1" s="19"/>
      <c r="I1" s="19"/>
      <c r="J1" s="19"/>
      <c r="K1" s="1"/>
      <c r="L1" s="19"/>
    </row>
    <row r="2" spans="1:13" ht="18">
      <c r="A2" s="10" t="s">
        <v>0</v>
      </c>
      <c r="C2" s="9"/>
      <c r="D2" s="9"/>
      <c r="E2" s="9"/>
      <c r="G2" s="19"/>
      <c r="H2" s="19"/>
      <c r="I2" s="19"/>
      <c r="J2" s="19"/>
      <c r="K2" s="1"/>
      <c r="L2" s="19"/>
      <c r="M2" s="4"/>
    </row>
    <row r="3" spans="1:13" ht="15.75">
      <c r="A3" s="39" t="s">
        <v>133</v>
      </c>
      <c r="F3" t="s">
        <v>87</v>
      </c>
      <c r="G3" s="19"/>
      <c r="H3" s="19"/>
      <c r="I3" s="19"/>
      <c r="J3" s="19"/>
      <c r="K3" s="1"/>
      <c r="L3" s="19"/>
      <c r="M3" s="4"/>
    </row>
    <row r="4" spans="1:28" ht="12.75">
      <c r="A4" t="s">
        <v>80</v>
      </c>
      <c r="B4" s="44">
        <v>36691</v>
      </c>
      <c r="G4" s="19"/>
      <c r="H4" s="19"/>
      <c r="I4" s="19"/>
      <c r="J4" s="19"/>
      <c r="K4" s="1"/>
      <c r="L4" s="19"/>
      <c r="M4" s="4"/>
      <c r="Z4" s="4"/>
      <c r="AA4" s="4"/>
      <c r="AB4" s="4"/>
    </row>
    <row r="5" spans="1:28" ht="12.75">
      <c r="A5" s="26" t="s">
        <v>1</v>
      </c>
      <c r="B5" s="7" t="s">
        <v>2</v>
      </c>
      <c r="C5" s="16"/>
      <c r="D5" s="16"/>
      <c r="E5" s="16"/>
      <c r="F5" s="16"/>
      <c r="G5" s="19"/>
      <c r="H5" s="19"/>
      <c r="I5" s="19"/>
      <c r="J5" s="19"/>
      <c r="K5" s="1"/>
      <c r="L5" s="19"/>
      <c r="M5" s="4"/>
      <c r="Z5" s="4"/>
      <c r="AA5" s="4"/>
      <c r="AB5" s="4"/>
    </row>
    <row r="6" spans="1:28" ht="12.75">
      <c r="A6" s="26" t="s">
        <v>3</v>
      </c>
      <c r="B6" s="17" t="s">
        <v>5</v>
      </c>
      <c r="C6" s="17" t="s">
        <v>6</v>
      </c>
      <c r="D6" s="17" t="s">
        <v>14</v>
      </c>
      <c r="E6" s="53" t="b">
        <v>1</v>
      </c>
      <c r="F6" s="8" t="s">
        <v>7</v>
      </c>
      <c r="G6" s="8" t="s">
        <v>7</v>
      </c>
      <c r="H6" s="8" t="s">
        <v>56</v>
      </c>
      <c r="I6" s="19"/>
      <c r="J6" s="19" t="s">
        <v>56</v>
      </c>
      <c r="K6" s="1" t="s">
        <v>65</v>
      </c>
      <c r="L6" s="19"/>
      <c r="M6" s="4"/>
      <c r="Z6" s="4"/>
      <c r="AA6" s="4"/>
      <c r="AB6" s="4"/>
    </row>
    <row r="7" spans="1:28" ht="12.75">
      <c r="A7" s="28" t="s">
        <v>8</v>
      </c>
      <c r="B7" s="11" t="s">
        <v>10</v>
      </c>
      <c r="C7" s="11" t="s">
        <v>11</v>
      </c>
      <c r="D7" s="40" t="s">
        <v>58</v>
      </c>
      <c r="E7" s="41" t="s">
        <v>14</v>
      </c>
      <c r="F7" s="11" t="s">
        <v>12</v>
      </c>
      <c r="G7" s="41" t="s">
        <v>14</v>
      </c>
      <c r="H7" s="61" t="s">
        <v>127</v>
      </c>
      <c r="I7" s="27" t="s">
        <v>57</v>
      </c>
      <c r="J7" s="27" t="s">
        <v>14</v>
      </c>
      <c r="K7" s="2" t="s">
        <v>14</v>
      </c>
      <c r="L7" s="27" t="s">
        <v>13</v>
      </c>
      <c r="Z7" s="4"/>
      <c r="AA7" s="4"/>
      <c r="AB7" s="4"/>
    </row>
    <row r="8" spans="1:28" ht="12.75">
      <c r="A8">
        <v>0</v>
      </c>
      <c r="B8" s="4">
        <v>111.15</v>
      </c>
      <c r="C8" s="4">
        <v>5.63</v>
      </c>
      <c r="D8" s="4">
        <f>+$B$8-C8</f>
        <v>105.52000000000001</v>
      </c>
      <c r="E8" s="4">
        <f>3290.72+D8-100</f>
        <v>3296.24</v>
      </c>
      <c r="F8" s="4"/>
      <c r="G8" s="20"/>
      <c r="H8" s="20"/>
      <c r="I8" s="20"/>
      <c r="J8" s="20"/>
      <c r="K8" s="4">
        <v>105.9</v>
      </c>
      <c r="L8" s="20" t="s">
        <v>77</v>
      </c>
      <c r="M8" s="3"/>
      <c r="Z8" s="4"/>
      <c r="AA8" s="4"/>
      <c r="AB8" s="4"/>
    </row>
    <row r="9" spans="1:28" ht="12.75">
      <c r="A9">
        <f>A8+5</f>
        <v>5</v>
      </c>
      <c r="B9" s="4"/>
      <c r="C9" s="4">
        <v>5.57</v>
      </c>
      <c r="D9" s="4">
        <f aca="true" t="shared" si="0" ref="D9:D42">+$B$8-C9</f>
        <v>105.58000000000001</v>
      </c>
      <c r="E9" s="4">
        <f aca="true" t="shared" si="1" ref="E9:E43">3290.72+D9-100</f>
        <v>3296.2999999999997</v>
      </c>
      <c r="F9" s="4"/>
      <c r="G9" s="20"/>
      <c r="H9" s="20"/>
      <c r="I9" s="20"/>
      <c r="J9" s="20"/>
      <c r="K9" s="1"/>
      <c r="L9" s="19" t="s">
        <v>122</v>
      </c>
      <c r="M9" s="3"/>
      <c r="Z9" s="4"/>
      <c r="AA9" s="4"/>
      <c r="AB9" s="4"/>
    </row>
    <row r="10" spans="1:28" ht="12.75">
      <c r="A10">
        <f>A9+5</f>
        <v>10</v>
      </c>
      <c r="B10" s="4"/>
      <c r="C10" s="4">
        <v>5.67</v>
      </c>
      <c r="D10" s="4">
        <f t="shared" si="0"/>
        <v>105.48</v>
      </c>
      <c r="E10" s="4">
        <f t="shared" si="1"/>
        <v>3296.2</v>
      </c>
      <c r="F10" s="4"/>
      <c r="G10" s="1"/>
      <c r="H10" s="1"/>
      <c r="I10" s="1"/>
      <c r="J10" s="1"/>
      <c r="K10" s="1"/>
      <c r="L10" s="1"/>
      <c r="M10" s="15"/>
      <c r="N10" s="3"/>
      <c r="O10" s="3"/>
      <c r="Z10" s="4"/>
      <c r="AA10" s="4"/>
      <c r="AB10" s="4"/>
    </row>
    <row r="11" spans="1:28" ht="12.75">
      <c r="A11">
        <f>A10+5</f>
        <v>15</v>
      </c>
      <c r="B11" s="4"/>
      <c r="C11" s="4">
        <v>5.76</v>
      </c>
      <c r="D11" s="4">
        <f t="shared" si="0"/>
        <v>105.39</v>
      </c>
      <c r="E11" s="4">
        <f t="shared" si="1"/>
        <v>3296.1099999999997</v>
      </c>
      <c r="F11" s="4"/>
      <c r="G11" s="1"/>
      <c r="H11" s="1"/>
      <c r="I11" s="1"/>
      <c r="J11" s="1"/>
      <c r="K11" s="1"/>
      <c r="L11" s="1"/>
      <c r="M11" s="15"/>
      <c r="N11" s="3"/>
      <c r="O11" s="3"/>
      <c r="Z11" s="4"/>
      <c r="AA11" s="4"/>
      <c r="AB11" s="4"/>
    </row>
    <row r="12" spans="1:28" ht="12.75">
      <c r="A12">
        <f>A11+5</f>
        <v>20</v>
      </c>
      <c r="B12" s="4"/>
      <c r="C12" s="4">
        <v>5.61</v>
      </c>
      <c r="D12" s="4">
        <f t="shared" si="0"/>
        <v>105.54</v>
      </c>
      <c r="E12" s="4">
        <f t="shared" si="1"/>
        <v>3296.2599999999998</v>
      </c>
      <c r="F12" s="4"/>
      <c r="G12" s="20"/>
      <c r="H12" s="20"/>
      <c r="I12" s="20"/>
      <c r="J12" s="20"/>
      <c r="K12" s="1"/>
      <c r="L12" s="20"/>
      <c r="M12" s="3"/>
      <c r="Z12" s="4"/>
      <c r="AA12" s="4"/>
      <c r="AB12" s="4"/>
    </row>
    <row r="13" spans="1:28" ht="12.75">
      <c r="A13">
        <v>30</v>
      </c>
      <c r="B13" s="4"/>
      <c r="C13" s="4">
        <v>5.75</v>
      </c>
      <c r="D13" s="4">
        <f t="shared" si="0"/>
        <v>105.4</v>
      </c>
      <c r="E13" s="4">
        <f t="shared" si="1"/>
        <v>3296.12</v>
      </c>
      <c r="F13" s="4"/>
      <c r="G13" s="19"/>
      <c r="H13" s="19"/>
      <c r="I13" s="19"/>
      <c r="J13" s="19"/>
      <c r="K13" s="1"/>
      <c r="L13" s="19"/>
      <c r="Z13" s="4"/>
      <c r="AA13" s="4"/>
      <c r="AB13" s="4"/>
    </row>
    <row r="14" spans="1:28" ht="12.75">
      <c r="A14">
        <v>35</v>
      </c>
      <c r="B14" s="4"/>
      <c r="C14" s="4">
        <v>5.87</v>
      </c>
      <c r="D14" s="4">
        <f t="shared" si="0"/>
        <v>105.28</v>
      </c>
      <c r="E14" s="4">
        <f t="shared" si="1"/>
        <v>3296</v>
      </c>
      <c r="F14" s="4"/>
      <c r="G14" s="19"/>
      <c r="H14" s="19"/>
      <c r="I14" s="19"/>
      <c r="J14" s="19"/>
      <c r="K14">
        <v>105.9</v>
      </c>
      <c r="L14" s="19"/>
      <c r="Z14" s="4"/>
      <c r="AA14" s="4"/>
      <c r="AB14" s="4"/>
    </row>
    <row r="15" spans="1:28" ht="12.75">
      <c r="A15">
        <v>40</v>
      </c>
      <c r="B15" s="4"/>
      <c r="C15" s="4">
        <v>6.32</v>
      </c>
      <c r="D15" s="4">
        <f t="shared" si="0"/>
        <v>104.83000000000001</v>
      </c>
      <c r="E15" s="4">
        <f t="shared" si="1"/>
        <v>3295.5499999999997</v>
      </c>
      <c r="F15" s="4"/>
      <c r="G15" s="19"/>
      <c r="H15" s="19"/>
      <c r="I15" s="19"/>
      <c r="J15" s="19"/>
      <c r="Z15" s="4"/>
      <c r="AA15" s="4"/>
      <c r="AB15" s="4"/>
    </row>
    <row r="16" spans="1:28" ht="12.75">
      <c r="A16">
        <v>41</v>
      </c>
      <c r="B16" s="4"/>
      <c r="C16" s="4">
        <v>6.43</v>
      </c>
      <c r="D16" s="4">
        <f t="shared" si="0"/>
        <v>104.72</v>
      </c>
      <c r="E16" s="4">
        <f t="shared" si="1"/>
        <v>3295.4399999999996</v>
      </c>
      <c r="F16" s="4"/>
      <c r="G16" s="19"/>
      <c r="H16" s="19"/>
      <c r="I16" s="19"/>
      <c r="J16" s="19"/>
      <c r="K16" s="1"/>
      <c r="L16" s="19"/>
      <c r="Z16" s="4"/>
      <c r="AA16" s="4"/>
      <c r="AB16" s="4"/>
    </row>
    <row r="17" spans="1:28" ht="12.75">
      <c r="A17">
        <v>42</v>
      </c>
      <c r="B17" s="4"/>
      <c r="C17" s="4">
        <v>6.53</v>
      </c>
      <c r="D17" s="4">
        <f t="shared" si="0"/>
        <v>104.62</v>
      </c>
      <c r="E17" s="4">
        <f t="shared" si="1"/>
        <v>3295.3399999999997</v>
      </c>
      <c r="F17" s="4"/>
      <c r="G17" s="19"/>
      <c r="H17" s="19"/>
      <c r="I17" s="19"/>
      <c r="K17" s="1"/>
      <c r="Z17" s="4"/>
      <c r="AA17" s="4"/>
      <c r="AB17" s="4"/>
    </row>
    <row r="18" spans="1:28" ht="12.75">
      <c r="A18">
        <v>42.2</v>
      </c>
      <c r="B18" s="4"/>
      <c r="C18" s="4">
        <f>+C17+0.19</f>
        <v>6.720000000000001</v>
      </c>
      <c r="D18" s="4">
        <v>104.43</v>
      </c>
      <c r="E18" s="4">
        <f t="shared" si="1"/>
        <v>3295.1499999999996</v>
      </c>
      <c r="F18" s="4"/>
      <c r="G18" s="19"/>
      <c r="H18" s="19"/>
      <c r="I18" s="19"/>
      <c r="J18" s="19">
        <v>104.43</v>
      </c>
      <c r="K18" s="1"/>
      <c r="L18" t="s">
        <v>72</v>
      </c>
      <c r="Z18" s="4"/>
      <c r="AA18" s="4"/>
      <c r="AB18" s="4"/>
    </row>
    <row r="19" spans="1:28" ht="12.75">
      <c r="A19">
        <v>43</v>
      </c>
      <c r="B19" s="4"/>
      <c r="C19" s="4">
        <v>7.02</v>
      </c>
      <c r="D19" s="4">
        <f t="shared" si="0"/>
        <v>104.13000000000001</v>
      </c>
      <c r="E19" s="4">
        <f t="shared" si="1"/>
        <v>3294.85</v>
      </c>
      <c r="F19" s="4"/>
      <c r="G19" s="1"/>
      <c r="H19" s="1">
        <f>+(A19-A18)*($D$18-D19)*0.5</f>
        <v>0.11999999999999844</v>
      </c>
      <c r="I19" s="19"/>
      <c r="J19" s="19">
        <v>104.43</v>
      </c>
      <c r="K19" s="1"/>
      <c r="Z19" s="4"/>
      <c r="AA19" s="4"/>
      <c r="AB19" s="4"/>
    </row>
    <row r="20" spans="1:28" ht="12.75">
      <c r="A20">
        <v>43.5</v>
      </c>
      <c r="B20" s="4"/>
      <c r="C20" s="4">
        <v>7.16</v>
      </c>
      <c r="D20" s="4">
        <f t="shared" si="0"/>
        <v>103.99000000000001</v>
      </c>
      <c r="E20" s="4">
        <f t="shared" si="1"/>
        <v>3294.71</v>
      </c>
      <c r="F20" s="4"/>
      <c r="G20" s="1"/>
      <c r="H20" s="1">
        <f aca="true" t="shared" si="2" ref="H20:H31">+(A20-A19)*($D$18-D20)</f>
        <v>0.21999999999999886</v>
      </c>
      <c r="I20" s="19"/>
      <c r="J20" s="19">
        <v>104.43</v>
      </c>
      <c r="K20" s="1"/>
      <c r="L20" s="19" t="s">
        <v>121</v>
      </c>
      <c r="Z20" s="4"/>
      <c r="AA20" s="4"/>
      <c r="AB20" s="4"/>
    </row>
    <row r="21" spans="1:28" ht="12.75">
      <c r="A21">
        <v>44</v>
      </c>
      <c r="B21" s="4"/>
      <c r="C21" s="4">
        <v>7.42</v>
      </c>
      <c r="D21" s="4">
        <f t="shared" si="0"/>
        <v>103.73</v>
      </c>
      <c r="E21" s="4">
        <f t="shared" si="1"/>
        <v>3294.45</v>
      </c>
      <c r="F21" s="4"/>
      <c r="G21" s="1"/>
      <c r="H21" s="1">
        <f t="shared" si="2"/>
        <v>0.3500000000000014</v>
      </c>
      <c r="I21" s="19"/>
      <c r="J21" s="19">
        <v>104.43</v>
      </c>
      <c r="K21" s="1"/>
      <c r="L21" s="19"/>
      <c r="Z21" s="4"/>
      <c r="AA21" s="4"/>
      <c r="AB21" s="4"/>
    </row>
    <row r="22" spans="1:28" ht="12.75">
      <c r="A22">
        <v>45</v>
      </c>
      <c r="B22" s="4"/>
      <c r="C22" s="4">
        <v>7.64</v>
      </c>
      <c r="D22" s="4">
        <f t="shared" si="0"/>
        <v>103.51</v>
      </c>
      <c r="E22" s="4">
        <f t="shared" si="1"/>
        <v>3294.23</v>
      </c>
      <c r="F22" s="4">
        <v>0</v>
      </c>
      <c r="G22" s="1">
        <f aca="true" t="shared" si="3" ref="G22:G30">+D22+F22</f>
        <v>103.51</v>
      </c>
      <c r="H22" s="1">
        <f t="shared" si="2"/>
        <v>0.9200000000000017</v>
      </c>
      <c r="I22" s="19"/>
      <c r="J22" s="19">
        <v>104.43</v>
      </c>
      <c r="K22" s="1"/>
      <c r="L22" s="19" t="s">
        <v>61</v>
      </c>
      <c r="Z22" s="4"/>
      <c r="AA22" s="4"/>
      <c r="AB22" s="4"/>
    </row>
    <row r="23" spans="1:28" ht="12.75">
      <c r="A23">
        <v>46</v>
      </c>
      <c r="B23" s="4"/>
      <c r="C23" s="4">
        <v>7.78</v>
      </c>
      <c r="D23" s="4">
        <f t="shared" si="0"/>
        <v>103.37</v>
      </c>
      <c r="E23" s="4">
        <f t="shared" si="1"/>
        <v>3294.0899999999997</v>
      </c>
      <c r="F23" s="4">
        <v>0.1</v>
      </c>
      <c r="G23" s="1">
        <f t="shared" si="3"/>
        <v>103.47</v>
      </c>
      <c r="H23" s="1">
        <f t="shared" si="2"/>
        <v>1.0600000000000023</v>
      </c>
      <c r="I23" s="19"/>
      <c r="J23" s="19">
        <v>104.43</v>
      </c>
      <c r="K23" s="1"/>
      <c r="L23" s="19"/>
      <c r="Z23" s="4"/>
      <c r="AA23" s="4"/>
      <c r="AB23" s="4"/>
    </row>
    <row r="24" spans="1:28" ht="12.75">
      <c r="A24">
        <v>47</v>
      </c>
      <c r="B24" s="4"/>
      <c r="C24" s="4">
        <v>7.77</v>
      </c>
      <c r="D24" s="4">
        <f t="shared" si="0"/>
        <v>103.38000000000001</v>
      </c>
      <c r="E24" s="4">
        <f t="shared" si="1"/>
        <v>3294.1</v>
      </c>
      <c r="F24" s="4">
        <v>0.18</v>
      </c>
      <c r="G24" s="1">
        <f t="shared" si="3"/>
        <v>103.56000000000002</v>
      </c>
      <c r="H24" s="1">
        <f t="shared" si="2"/>
        <v>1.0499999999999972</v>
      </c>
      <c r="I24" s="19"/>
      <c r="J24" s="19">
        <v>104.43</v>
      </c>
      <c r="K24" s="1"/>
      <c r="L24" s="19"/>
      <c r="Z24" s="4"/>
      <c r="AA24" s="4"/>
      <c r="AB24" s="4"/>
    </row>
    <row r="25" spans="1:28" ht="12.75">
      <c r="A25">
        <v>48</v>
      </c>
      <c r="B25" s="4"/>
      <c r="C25" s="4">
        <v>7.79</v>
      </c>
      <c r="D25" s="4">
        <f t="shared" si="0"/>
        <v>103.36</v>
      </c>
      <c r="E25" s="4">
        <f t="shared" si="1"/>
        <v>3294.08</v>
      </c>
      <c r="F25" s="4">
        <v>0.18</v>
      </c>
      <c r="G25" s="1">
        <f t="shared" si="3"/>
        <v>103.54</v>
      </c>
      <c r="H25" s="1">
        <f t="shared" si="2"/>
        <v>1.0700000000000074</v>
      </c>
      <c r="I25" s="19"/>
      <c r="J25" s="19">
        <v>104.43</v>
      </c>
      <c r="K25" s="1"/>
      <c r="L25" s="19"/>
      <c r="Z25" s="4"/>
      <c r="AA25" s="4"/>
      <c r="AB25" s="4"/>
    </row>
    <row r="26" spans="1:28" ht="12.75">
      <c r="A26">
        <v>49</v>
      </c>
      <c r="B26" s="4"/>
      <c r="C26" s="4">
        <v>7.9</v>
      </c>
      <c r="D26" s="4">
        <f t="shared" si="0"/>
        <v>103.25</v>
      </c>
      <c r="E26" s="4">
        <f t="shared" si="1"/>
        <v>3293.97</v>
      </c>
      <c r="F26" s="4">
        <v>0.28</v>
      </c>
      <c r="G26" s="1">
        <f t="shared" si="3"/>
        <v>103.53</v>
      </c>
      <c r="H26" s="1">
        <f t="shared" si="2"/>
        <v>1.1800000000000068</v>
      </c>
      <c r="I26" s="19"/>
      <c r="J26" s="19">
        <v>104.43</v>
      </c>
      <c r="K26" s="1"/>
      <c r="L26" s="19"/>
      <c r="X26" s="14"/>
      <c r="Z26" s="4"/>
      <c r="AA26" s="4"/>
      <c r="AB26" s="4"/>
    </row>
    <row r="27" spans="1:28" ht="12.75">
      <c r="A27">
        <v>50</v>
      </c>
      <c r="B27" s="4"/>
      <c r="C27" s="4">
        <v>8.04</v>
      </c>
      <c r="D27" s="4">
        <f t="shared" si="0"/>
        <v>103.11000000000001</v>
      </c>
      <c r="E27" s="4">
        <f t="shared" si="1"/>
        <v>3293.83</v>
      </c>
      <c r="F27" s="4">
        <v>0.45</v>
      </c>
      <c r="G27" s="1">
        <f t="shared" si="3"/>
        <v>103.56000000000002</v>
      </c>
      <c r="H27" s="1">
        <f t="shared" si="2"/>
        <v>1.3199999999999932</v>
      </c>
      <c r="I27" s="1"/>
      <c r="J27" s="19">
        <v>104.43</v>
      </c>
      <c r="K27" s="1"/>
      <c r="L27" s="19"/>
      <c r="Z27" s="4"/>
      <c r="AA27" s="4"/>
      <c r="AB27" s="4"/>
    </row>
    <row r="28" spans="1:28" ht="12.75">
      <c r="A28">
        <v>51</v>
      </c>
      <c r="B28" s="4"/>
      <c r="C28" s="4">
        <v>8.19</v>
      </c>
      <c r="D28" s="4">
        <f t="shared" si="0"/>
        <v>102.96000000000001</v>
      </c>
      <c r="E28" s="4">
        <f t="shared" si="1"/>
        <v>3293.68</v>
      </c>
      <c r="F28" s="4">
        <v>0.54</v>
      </c>
      <c r="G28" s="1">
        <f t="shared" si="3"/>
        <v>103.50000000000001</v>
      </c>
      <c r="H28" s="1">
        <f t="shared" si="2"/>
        <v>1.4699999999999989</v>
      </c>
      <c r="I28" s="1"/>
      <c r="J28" s="19">
        <v>104.43</v>
      </c>
      <c r="K28" s="1"/>
      <c r="L28" s="19"/>
      <c r="Z28" s="4"/>
      <c r="AA28" s="4"/>
      <c r="AB28" s="4"/>
    </row>
    <row r="29" spans="1:28" ht="12.75">
      <c r="A29">
        <v>52</v>
      </c>
      <c r="B29" s="4"/>
      <c r="C29" s="4">
        <v>8.09</v>
      </c>
      <c r="D29" s="4">
        <f t="shared" si="0"/>
        <v>103.06</v>
      </c>
      <c r="E29" s="4">
        <f t="shared" si="1"/>
        <v>3293.7799999999997</v>
      </c>
      <c r="F29" s="4">
        <v>0.46</v>
      </c>
      <c r="G29" s="1">
        <f t="shared" si="3"/>
        <v>103.52</v>
      </c>
      <c r="H29" s="1">
        <f t="shared" si="2"/>
        <v>1.3700000000000045</v>
      </c>
      <c r="I29" s="1"/>
      <c r="J29" s="19">
        <v>104.43</v>
      </c>
      <c r="K29" s="1"/>
      <c r="L29" s="19"/>
      <c r="Z29" s="4"/>
      <c r="AA29" s="4"/>
      <c r="AB29" s="4"/>
    </row>
    <row r="30" spans="1:28" ht="12.75">
      <c r="A30">
        <v>53.1</v>
      </c>
      <c r="B30" s="4"/>
      <c r="C30" s="4">
        <v>7.59</v>
      </c>
      <c r="D30" s="4">
        <f t="shared" si="0"/>
        <v>103.56</v>
      </c>
      <c r="E30" s="4">
        <f t="shared" si="1"/>
        <v>3294.2799999999997</v>
      </c>
      <c r="F30" s="4">
        <v>0</v>
      </c>
      <c r="G30" s="1">
        <f t="shared" si="3"/>
        <v>103.56</v>
      </c>
      <c r="H30" s="1">
        <f t="shared" si="2"/>
        <v>0.9570000000000063</v>
      </c>
      <c r="I30" s="1"/>
      <c r="J30" s="19">
        <v>104.43</v>
      </c>
      <c r="K30" s="1"/>
      <c r="L30" s="19" t="s">
        <v>62</v>
      </c>
      <c r="Z30" s="4"/>
      <c r="AA30" s="4"/>
      <c r="AB30" s="4"/>
    </row>
    <row r="31" spans="1:28" ht="12.75">
      <c r="A31">
        <v>53.1</v>
      </c>
      <c r="B31" s="4"/>
      <c r="C31" s="4">
        <v>7.16</v>
      </c>
      <c r="D31" s="4">
        <f t="shared" si="0"/>
        <v>103.99000000000001</v>
      </c>
      <c r="E31" s="4">
        <f t="shared" si="1"/>
        <v>3294.71</v>
      </c>
      <c r="F31" s="4"/>
      <c r="G31" s="1"/>
      <c r="H31" s="1">
        <f t="shared" si="2"/>
        <v>0</v>
      </c>
      <c r="I31" s="1"/>
      <c r="J31" s="19">
        <v>104.43</v>
      </c>
      <c r="K31" s="1"/>
      <c r="L31" s="19" t="s">
        <v>120</v>
      </c>
      <c r="Z31" s="4"/>
      <c r="AA31" s="4"/>
      <c r="AB31" s="4"/>
    </row>
    <row r="32" spans="1:28" ht="12.75">
      <c r="A32">
        <v>53.5</v>
      </c>
      <c r="B32" s="4"/>
      <c r="C32" s="4">
        <v>6.72</v>
      </c>
      <c r="D32" s="4">
        <f t="shared" si="0"/>
        <v>104.43</v>
      </c>
      <c r="E32" s="4">
        <f t="shared" si="1"/>
        <v>3295.1499999999996</v>
      </c>
      <c r="F32" s="4"/>
      <c r="G32" s="1"/>
      <c r="H32" s="1">
        <f>+(A32-A31)*($D$18-D31)</f>
        <v>0.17599999999999846</v>
      </c>
      <c r="I32" s="1"/>
      <c r="J32" s="1">
        <v>104.43</v>
      </c>
      <c r="K32" s="1"/>
      <c r="L32" s="19" t="s">
        <v>72</v>
      </c>
      <c r="Z32" s="4"/>
      <c r="AA32" s="4"/>
      <c r="AB32" s="4"/>
    </row>
    <row r="33" spans="1:28" ht="12.75">
      <c r="A33">
        <v>55</v>
      </c>
      <c r="B33" s="4"/>
      <c r="C33" s="4">
        <v>6.51</v>
      </c>
      <c r="D33" s="4">
        <f t="shared" si="0"/>
        <v>104.64</v>
      </c>
      <c r="E33" s="4">
        <f t="shared" si="1"/>
        <v>3295.3599999999997</v>
      </c>
      <c r="F33" s="4"/>
      <c r="G33" s="19"/>
      <c r="H33" s="19"/>
      <c r="I33" s="19"/>
      <c r="J33" s="19"/>
      <c r="K33" s="1"/>
      <c r="L33" s="19"/>
      <c r="X33" s="6"/>
      <c r="AA33" s="4"/>
      <c r="AB33" s="4"/>
    </row>
    <row r="34" spans="1:28" ht="12.75">
      <c r="A34">
        <v>60</v>
      </c>
      <c r="B34" s="4"/>
      <c r="C34" s="4">
        <v>6.41</v>
      </c>
      <c r="D34" s="4">
        <f t="shared" si="0"/>
        <v>104.74000000000001</v>
      </c>
      <c r="E34" s="4">
        <f t="shared" si="1"/>
        <v>3295.46</v>
      </c>
      <c r="F34" s="4"/>
      <c r="G34" s="19"/>
      <c r="H34" s="19"/>
      <c r="I34" s="19"/>
      <c r="J34" s="19"/>
      <c r="L34" s="19"/>
      <c r="X34" s="6"/>
      <c r="AA34" s="4"/>
      <c r="AB34" s="4"/>
    </row>
    <row r="35" spans="1:28" ht="12.75">
      <c r="A35">
        <v>65</v>
      </c>
      <c r="B35" s="4"/>
      <c r="C35" s="4">
        <v>6.45</v>
      </c>
      <c r="D35" s="4">
        <f t="shared" si="0"/>
        <v>104.7</v>
      </c>
      <c r="E35" s="4">
        <f t="shared" si="1"/>
        <v>3295.4199999999996</v>
      </c>
      <c r="F35" s="4"/>
      <c r="G35" s="19"/>
      <c r="H35" s="19"/>
      <c r="I35" s="19"/>
      <c r="J35" s="19"/>
      <c r="K35">
        <v>105.9</v>
      </c>
      <c r="L35" s="19"/>
      <c r="X35" s="6"/>
      <c r="AA35" s="4"/>
      <c r="AB35" s="4"/>
    </row>
    <row r="36" spans="1:28" ht="12.75">
      <c r="A36">
        <v>70</v>
      </c>
      <c r="B36" s="4"/>
      <c r="C36" s="4">
        <v>6.47</v>
      </c>
      <c r="D36" s="4">
        <f t="shared" si="0"/>
        <v>104.68</v>
      </c>
      <c r="E36" s="4">
        <f t="shared" si="1"/>
        <v>3295.3999999999996</v>
      </c>
      <c r="F36" s="4"/>
      <c r="G36" s="19"/>
      <c r="H36" s="19"/>
      <c r="I36" s="19"/>
      <c r="J36" s="19"/>
      <c r="K36" s="1"/>
      <c r="L36" s="19"/>
      <c r="X36" s="6"/>
      <c r="Z36" s="4"/>
      <c r="AA36" s="4"/>
      <c r="AB36" s="4"/>
    </row>
    <row r="37" spans="1:28" ht="12.75">
      <c r="A37">
        <v>75</v>
      </c>
      <c r="B37" s="4"/>
      <c r="C37" s="4">
        <v>6.41</v>
      </c>
      <c r="D37" s="4">
        <f t="shared" si="0"/>
        <v>104.74000000000001</v>
      </c>
      <c r="E37" s="4">
        <f t="shared" si="1"/>
        <v>3295.46</v>
      </c>
      <c r="F37" s="4"/>
      <c r="G37" s="60"/>
      <c r="H37" s="60"/>
      <c r="I37" s="19"/>
      <c r="J37" s="19"/>
      <c r="K37" s="1"/>
      <c r="L37" s="19"/>
      <c r="X37" s="6"/>
      <c r="AA37" s="4"/>
      <c r="AB37" s="4"/>
    </row>
    <row r="38" spans="1:28" ht="12.75">
      <c r="A38">
        <v>80</v>
      </c>
      <c r="B38" s="4"/>
      <c r="C38" s="4">
        <v>6.47</v>
      </c>
      <c r="D38" s="4">
        <f t="shared" si="0"/>
        <v>104.68</v>
      </c>
      <c r="E38" s="4">
        <f t="shared" si="1"/>
        <v>3295.3999999999996</v>
      </c>
      <c r="F38" s="4"/>
      <c r="G38" s="19"/>
      <c r="H38" s="19"/>
      <c r="I38" s="19"/>
      <c r="J38" s="19"/>
      <c r="K38" s="1"/>
      <c r="L38" s="19"/>
      <c r="X38" s="6"/>
      <c r="AA38" s="4"/>
      <c r="AB38" s="4"/>
    </row>
    <row r="39" spans="1:28" ht="12.75">
      <c r="A39">
        <v>85</v>
      </c>
      <c r="B39" s="4"/>
      <c r="C39" s="4">
        <v>6.53</v>
      </c>
      <c r="D39" s="4">
        <f t="shared" si="0"/>
        <v>104.62</v>
      </c>
      <c r="E39" s="4">
        <f t="shared" si="1"/>
        <v>3295.3399999999997</v>
      </c>
      <c r="F39" s="4"/>
      <c r="G39" s="19"/>
      <c r="H39" s="19"/>
      <c r="I39" s="19"/>
      <c r="J39" s="19"/>
      <c r="K39" s="1"/>
      <c r="L39" s="19"/>
      <c r="X39" s="6"/>
      <c r="AA39" s="4"/>
      <c r="AB39" s="4"/>
    </row>
    <row r="40" spans="1:28" ht="12.75">
      <c r="A40">
        <v>90</v>
      </c>
      <c r="B40" s="4"/>
      <c r="C40" s="4">
        <v>6.73</v>
      </c>
      <c r="D40" s="4">
        <f t="shared" si="0"/>
        <v>104.42</v>
      </c>
      <c r="E40" s="4">
        <f t="shared" si="1"/>
        <v>3295.14</v>
      </c>
      <c r="F40" s="4"/>
      <c r="G40" s="19"/>
      <c r="H40" s="19"/>
      <c r="I40" s="19"/>
      <c r="J40" s="19"/>
      <c r="K40" s="1"/>
      <c r="L40" s="19"/>
      <c r="X40" s="6"/>
      <c r="AA40" s="4"/>
      <c r="AB40" s="4"/>
    </row>
    <row r="41" spans="1:29" ht="12.75">
      <c r="A41">
        <v>95</v>
      </c>
      <c r="C41">
        <v>6.54</v>
      </c>
      <c r="D41" s="4">
        <f t="shared" si="0"/>
        <v>104.61</v>
      </c>
      <c r="E41" s="4">
        <f t="shared" si="1"/>
        <v>3295.33</v>
      </c>
      <c r="F41" s="4"/>
      <c r="G41" s="19"/>
      <c r="H41" s="19"/>
      <c r="I41" s="19"/>
      <c r="J41" s="19"/>
      <c r="K41" s="1"/>
      <c r="L41" s="19"/>
      <c r="X41" s="6"/>
      <c r="AA41" s="4"/>
      <c r="AB41" s="4"/>
      <c r="AC41" s="4"/>
    </row>
    <row r="42" spans="1:24" ht="12.75">
      <c r="A42">
        <v>100</v>
      </c>
      <c r="C42">
        <v>6.52</v>
      </c>
      <c r="D42" s="4">
        <f t="shared" si="0"/>
        <v>104.63000000000001</v>
      </c>
      <c r="E42" s="4">
        <f t="shared" si="1"/>
        <v>3295.35</v>
      </c>
      <c r="G42" s="19"/>
      <c r="H42" s="19"/>
      <c r="I42" s="19"/>
      <c r="J42" s="19"/>
      <c r="K42">
        <v>105.9</v>
      </c>
      <c r="L42" s="19"/>
      <c r="X42" s="6"/>
    </row>
    <row r="43" spans="1:28" ht="12.75">
      <c r="A43">
        <v>170</v>
      </c>
      <c r="D43">
        <v>105.9</v>
      </c>
      <c r="E43" s="4">
        <f t="shared" si="1"/>
        <v>3296.62</v>
      </c>
      <c r="G43" s="19"/>
      <c r="H43" s="19"/>
      <c r="I43" s="19"/>
      <c r="J43" s="19"/>
      <c r="K43" s="1">
        <v>105.9</v>
      </c>
      <c r="L43" s="19" t="s">
        <v>128</v>
      </c>
      <c r="X43" s="6"/>
      <c r="AA43" s="4"/>
      <c r="AB43" s="4"/>
    </row>
    <row r="44" spans="5:12" ht="12.75">
      <c r="E44" s="4"/>
      <c r="G44" s="19"/>
      <c r="H44" s="1">
        <f>SUM(H19:H32)</f>
        <v>11.263000000000014</v>
      </c>
      <c r="I44" s="19"/>
      <c r="J44" s="19"/>
      <c r="K44" s="1"/>
      <c r="L44" s="19" t="s">
        <v>129</v>
      </c>
    </row>
    <row r="45" spans="2:12" ht="12.75">
      <c r="B45" s="4"/>
      <c r="C45" s="4"/>
      <c r="D45" s="4" t="s">
        <v>69</v>
      </c>
      <c r="G45" s="19"/>
      <c r="H45" s="19"/>
      <c r="I45" s="19"/>
      <c r="J45" s="19"/>
      <c r="K45" s="1"/>
      <c r="L45" s="19"/>
    </row>
    <row r="46" spans="2:12" ht="12.75">
      <c r="B46" s="4" t="s">
        <v>15</v>
      </c>
      <c r="C46" s="4">
        <f>MAX(C8:C40)</f>
        <v>8.19</v>
      </c>
      <c r="D46" s="4">
        <v>102.96</v>
      </c>
      <c r="G46" s="19"/>
      <c r="H46" s="19"/>
      <c r="I46" s="19"/>
      <c r="J46" s="19"/>
      <c r="K46" s="1"/>
      <c r="L46" s="19"/>
    </row>
    <row r="47" spans="2:4" ht="12.75">
      <c r="B47" s="4" t="s">
        <v>66</v>
      </c>
      <c r="C47" s="4">
        <v>6.72</v>
      </c>
      <c r="D47" s="4">
        <v>104.43</v>
      </c>
    </row>
    <row r="48" spans="2:4" ht="12.75">
      <c r="B48" s="4" t="s">
        <v>67</v>
      </c>
      <c r="C48" s="4">
        <f>+C46-C47</f>
        <v>1.4699999999999998</v>
      </c>
      <c r="D48" s="4"/>
    </row>
    <row r="49" spans="2:4" ht="12.75">
      <c r="B49" t="s">
        <v>68</v>
      </c>
      <c r="C49" s="4"/>
      <c r="D49">
        <f>+D46+(2*C48)</f>
        <v>105.89999999999999</v>
      </c>
    </row>
    <row r="50" spans="2:4" ht="12.75">
      <c r="B50" t="s">
        <v>123</v>
      </c>
      <c r="C50" s="6" t="s">
        <v>124</v>
      </c>
      <c r="D50">
        <v>220</v>
      </c>
    </row>
    <row r="51" spans="2:3" ht="12.75">
      <c r="B51" t="s">
        <v>125</v>
      </c>
      <c r="C51">
        <f>+A32-A18</f>
        <v>11.299999999999997</v>
      </c>
    </row>
    <row r="52" spans="2:3" ht="12.75">
      <c r="B52" t="s">
        <v>126</v>
      </c>
      <c r="C52" s="4">
        <f>+C53/C51</f>
        <v>0.9967256637168157</v>
      </c>
    </row>
    <row r="53" spans="2:3" ht="12.75">
      <c r="B53" t="s">
        <v>127</v>
      </c>
      <c r="C53" s="4">
        <f>+H44</f>
        <v>11.263000000000014</v>
      </c>
    </row>
    <row r="54" spans="2:3" ht="12.75">
      <c r="B54" t="s">
        <v>130</v>
      </c>
      <c r="C54" s="4">
        <f>+C51/C52</f>
        <v>11.337121548432902</v>
      </c>
    </row>
    <row r="55" spans="2:3" ht="12.75">
      <c r="B55" t="s">
        <v>131</v>
      </c>
      <c r="C55" s="6" t="s">
        <v>132</v>
      </c>
    </row>
  </sheetData>
  <printOptions/>
  <pageMargins left="0.75" right="0.75" top="1" bottom="1" header="0.5" footer="0.5"/>
  <pageSetup fitToHeight="1" fitToWidth="1" horizontalDpi="300" verticalDpi="300" orientation="portrait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140625" style="0" customWidth="1"/>
    <col min="3" max="3" width="7.8515625" style="0" customWidth="1"/>
    <col min="4" max="4" width="8.00390625" style="0" customWidth="1"/>
  </cols>
  <sheetData>
    <row r="1" spans="7:12" ht="12.75">
      <c r="G1" s="19"/>
      <c r="H1" s="19"/>
      <c r="I1" s="19"/>
      <c r="J1" s="19"/>
      <c r="K1" s="1"/>
      <c r="L1" s="19"/>
    </row>
    <row r="2" spans="1:13" ht="18">
      <c r="A2" s="10" t="s">
        <v>0</v>
      </c>
      <c r="C2" s="9"/>
      <c r="D2" s="9"/>
      <c r="E2" s="9"/>
      <c r="G2" s="19"/>
      <c r="H2" s="19"/>
      <c r="I2" s="19"/>
      <c r="J2" s="19"/>
      <c r="K2" s="1"/>
      <c r="L2" s="19"/>
      <c r="M2" s="4"/>
    </row>
    <row r="3" spans="1:13" ht="15.75">
      <c r="A3" s="39" t="s">
        <v>149</v>
      </c>
      <c r="G3" s="19"/>
      <c r="H3" s="19"/>
      <c r="I3" s="19"/>
      <c r="J3" s="19"/>
      <c r="K3" s="1"/>
      <c r="L3" s="19"/>
      <c r="M3" s="4"/>
    </row>
    <row r="4" spans="1:27" ht="12.75">
      <c r="A4" t="s">
        <v>80</v>
      </c>
      <c r="B4" s="44">
        <v>36689</v>
      </c>
      <c r="E4" t="s">
        <v>70</v>
      </c>
      <c r="G4" s="19"/>
      <c r="H4" s="19"/>
      <c r="I4" s="19"/>
      <c r="J4" s="19"/>
      <c r="K4" s="1"/>
      <c r="L4" s="19"/>
      <c r="M4" s="4"/>
      <c r="Y4" s="4"/>
      <c r="Z4" s="4"/>
      <c r="AA4" s="4"/>
    </row>
    <row r="5" spans="1:27" ht="12.75">
      <c r="A5" s="26" t="s">
        <v>1</v>
      </c>
      <c r="B5" s="7" t="s">
        <v>2</v>
      </c>
      <c r="C5" s="16"/>
      <c r="D5" s="16"/>
      <c r="E5" s="16"/>
      <c r="F5" s="16"/>
      <c r="G5" s="19"/>
      <c r="H5" s="19"/>
      <c r="I5" s="19"/>
      <c r="J5" s="19"/>
      <c r="K5" s="1"/>
      <c r="L5" s="19"/>
      <c r="M5" s="4"/>
      <c r="Y5" s="4"/>
      <c r="Z5" s="4"/>
      <c r="AA5" s="4"/>
    </row>
    <row r="6" spans="1:27" ht="12.75">
      <c r="A6" s="26" t="s">
        <v>3</v>
      </c>
      <c r="B6" s="17" t="s">
        <v>5</v>
      </c>
      <c r="C6" s="17" t="s">
        <v>6</v>
      </c>
      <c r="D6" s="17" t="s">
        <v>14</v>
      </c>
      <c r="E6" s="53" t="b">
        <v>1</v>
      </c>
      <c r="F6" s="8" t="s">
        <v>7</v>
      </c>
      <c r="G6" s="8" t="s">
        <v>7</v>
      </c>
      <c r="H6" s="8" t="s">
        <v>56</v>
      </c>
      <c r="I6" s="19"/>
      <c r="J6" s="19" t="s">
        <v>56</v>
      </c>
      <c r="K6" s="1" t="s">
        <v>65</v>
      </c>
      <c r="L6" s="19"/>
      <c r="M6" s="4"/>
      <c r="Y6" s="4"/>
      <c r="Z6" s="4"/>
      <c r="AA6" s="4"/>
    </row>
    <row r="7" spans="1:27" ht="12.75">
      <c r="A7" s="28" t="s">
        <v>8</v>
      </c>
      <c r="B7" s="11" t="s">
        <v>10</v>
      </c>
      <c r="C7" s="11" t="s">
        <v>11</v>
      </c>
      <c r="D7" s="40" t="s">
        <v>58</v>
      </c>
      <c r="E7" s="41" t="s">
        <v>14</v>
      </c>
      <c r="F7" s="11" t="s">
        <v>12</v>
      </c>
      <c r="G7" s="41" t="s">
        <v>14</v>
      </c>
      <c r="H7" s="61" t="s">
        <v>127</v>
      </c>
      <c r="I7" s="27" t="s">
        <v>57</v>
      </c>
      <c r="J7" s="27" t="s">
        <v>14</v>
      </c>
      <c r="K7" s="2" t="s">
        <v>14</v>
      </c>
      <c r="L7" s="27" t="s">
        <v>13</v>
      </c>
      <c r="Y7" s="4"/>
      <c r="Z7" s="4"/>
      <c r="AA7" s="4"/>
    </row>
    <row r="8" spans="1:27" ht="12.75">
      <c r="A8">
        <v>0</v>
      </c>
      <c r="B8" s="4">
        <v>111</v>
      </c>
      <c r="C8" s="4">
        <v>5.73</v>
      </c>
      <c r="D8" s="4">
        <f>+$B$8-C8</f>
        <v>105.27</v>
      </c>
      <c r="E8" s="4">
        <f>3290.72+D8-100</f>
        <v>3295.99</v>
      </c>
      <c r="F8" s="4"/>
      <c r="G8" s="20"/>
      <c r="H8" s="20"/>
      <c r="I8" s="20"/>
      <c r="J8" s="20"/>
      <c r="K8" s="4">
        <v>106.81</v>
      </c>
      <c r="L8" s="20" t="s">
        <v>63</v>
      </c>
      <c r="M8" s="3"/>
      <c r="Y8" s="4"/>
      <c r="Z8" s="4"/>
      <c r="AA8" s="4"/>
    </row>
    <row r="9" spans="1:27" ht="12.75">
      <c r="A9">
        <f aca="true" t="shared" si="0" ref="A9:A17">A8+5</f>
        <v>5</v>
      </c>
      <c r="B9" s="4"/>
      <c r="C9" s="4">
        <v>5.56</v>
      </c>
      <c r="D9" s="4">
        <f aca="true" t="shared" si="1" ref="D9:D42">+$B$8-C9</f>
        <v>105.44</v>
      </c>
      <c r="E9" s="4">
        <f aca="true" t="shared" si="2" ref="E9:E42">3290.72+D9-100</f>
        <v>3296.16</v>
      </c>
      <c r="F9" s="4"/>
      <c r="G9" s="20"/>
      <c r="H9" s="20"/>
      <c r="I9" s="20"/>
      <c r="J9" s="20"/>
      <c r="K9" s="1"/>
      <c r="L9" s="20"/>
      <c r="M9" s="3"/>
      <c r="Y9" s="4"/>
      <c r="Z9" s="4"/>
      <c r="AA9" s="4"/>
    </row>
    <row r="10" spans="1:27" ht="12.75">
      <c r="A10">
        <f t="shared" si="0"/>
        <v>10</v>
      </c>
      <c r="B10" s="4"/>
      <c r="C10" s="4">
        <v>5.42</v>
      </c>
      <c r="D10" s="4">
        <f t="shared" si="1"/>
        <v>105.58</v>
      </c>
      <c r="E10" s="4">
        <f t="shared" si="2"/>
        <v>3296.2999999999997</v>
      </c>
      <c r="F10" s="4"/>
      <c r="G10" s="1"/>
      <c r="H10" s="1"/>
      <c r="I10" s="1"/>
      <c r="J10" s="1"/>
      <c r="K10" s="1"/>
      <c r="L10" s="1"/>
      <c r="M10" s="15"/>
      <c r="N10" s="3"/>
      <c r="Y10" s="4"/>
      <c r="Z10" s="4"/>
      <c r="AA10" s="4"/>
    </row>
    <row r="11" spans="1:27" ht="12.75">
      <c r="A11">
        <f t="shared" si="0"/>
        <v>15</v>
      </c>
      <c r="B11" s="4"/>
      <c r="C11" s="4">
        <v>5.48</v>
      </c>
      <c r="D11" s="4">
        <f t="shared" si="1"/>
        <v>105.52</v>
      </c>
      <c r="E11" s="4">
        <f t="shared" si="2"/>
        <v>3296.24</v>
      </c>
      <c r="F11" s="4"/>
      <c r="G11" s="1"/>
      <c r="H11" s="1"/>
      <c r="I11" s="1"/>
      <c r="J11" s="1"/>
      <c r="K11" s="1"/>
      <c r="L11" s="1"/>
      <c r="M11" s="15"/>
      <c r="N11" s="3"/>
      <c r="Y11" s="4"/>
      <c r="Z11" s="4"/>
      <c r="AA11" s="4"/>
    </row>
    <row r="12" spans="1:27" ht="12.75">
      <c r="A12">
        <f t="shared" si="0"/>
        <v>20</v>
      </c>
      <c r="B12" s="4"/>
      <c r="C12" s="4">
        <v>5.46</v>
      </c>
      <c r="D12" s="4">
        <f t="shared" si="1"/>
        <v>105.54</v>
      </c>
      <c r="E12" s="4">
        <f t="shared" si="2"/>
        <v>3296.2599999999998</v>
      </c>
      <c r="F12" s="4"/>
      <c r="G12" s="20"/>
      <c r="H12" s="20"/>
      <c r="I12" s="20"/>
      <c r="J12" s="20"/>
      <c r="K12" s="1"/>
      <c r="L12" s="20"/>
      <c r="M12" s="3"/>
      <c r="Y12" s="4"/>
      <c r="Z12" s="4"/>
      <c r="AA12" s="4"/>
    </row>
    <row r="13" spans="1:27" ht="12.75">
      <c r="A13">
        <f>A12+5</f>
        <v>25</v>
      </c>
      <c r="B13" s="4"/>
      <c r="C13" s="4">
        <v>5.45</v>
      </c>
      <c r="D13" s="4">
        <f t="shared" si="1"/>
        <v>105.55</v>
      </c>
      <c r="E13" s="4">
        <f t="shared" si="2"/>
        <v>3296.27</v>
      </c>
      <c r="F13" s="4"/>
      <c r="G13" s="19"/>
      <c r="H13" s="19"/>
      <c r="I13" s="19"/>
      <c r="J13" s="19"/>
      <c r="K13" s="4"/>
      <c r="L13" s="19"/>
      <c r="Y13" s="4"/>
      <c r="Z13" s="4"/>
      <c r="AA13" s="4"/>
    </row>
    <row r="14" spans="1:27" ht="12.75">
      <c r="A14">
        <f t="shared" si="0"/>
        <v>30</v>
      </c>
      <c r="B14" s="4"/>
      <c r="C14" s="4">
        <v>5.48</v>
      </c>
      <c r="D14" s="4">
        <f t="shared" si="1"/>
        <v>105.52</v>
      </c>
      <c r="E14" s="4">
        <f t="shared" si="2"/>
        <v>3296.24</v>
      </c>
      <c r="F14" s="4"/>
      <c r="G14" s="19"/>
      <c r="H14" s="19"/>
      <c r="I14" s="19"/>
      <c r="J14" s="19"/>
      <c r="K14" s="1"/>
      <c r="L14" s="19"/>
      <c r="Y14" s="4"/>
      <c r="Z14" s="4"/>
      <c r="AA14" s="4"/>
    </row>
    <row r="15" spans="1:27" ht="12.75">
      <c r="A15">
        <f t="shared" si="0"/>
        <v>35</v>
      </c>
      <c r="B15" s="4"/>
      <c r="C15" s="4">
        <v>5.78</v>
      </c>
      <c r="D15" s="4">
        <f t="shared" si="1"/>
        <v>105.22</v>
      </c>
      <c r="E15" s="4">
        <f t="shared" si="2"/>
        <v>3295.9399999999996</v>
      </c>
      <c r="F15" s="4"/>
      <c r="G15" s="19"/>
      <c r="H15" s="19"/>
      <c r="I15" s="19"/>
      <c r="J15" s="19"/>
      <c r="K15" s="1"/>
      <c r="L15" s="54"/>
      <c r="Y15" s="4"/>
      <c r="Z15" s="4"/>
      <c r="AA15" s="4"/>
    </row>
    <row r="16" spans="1:27" ht="12.75">
      <c r="A16">
        <f t="shared" si="0"/>
        <v>40</v>
      </c>
      <c r="B16" s="4"/>
      <c r="C16" s="4">
        <v>5.77</v>
      </c>
      <c r="D16" s="4">
        <f t="shared" si="1"/>
        <v>105.23</v>
      </c>
      <c r="E16" s="4">
        <f t="shared" si="2"/>
        <v>3295.95</v>
      </c>
      <c r="F16" s="4"/>
      <c r="G16" s="19"/>
      <c r="H16" s="19"/>
      <c r="I16" s="19"/>
      <c r="J16" s="19"/>
      <c r="K16" s="1"/>
      <c r="L16" s="19"/>
      <c r="Y16" s="4"/>
      <c r="Z16" s="4"/>
      <c r="AA16" s="4"/>
    </row>
    <row r="17" spans="1:27" ht="12.75">
      <c r="A17">
        <f t="shared" si="0"/>
        <v>45</v>
      </c>
      <c r="B17" s="4"/>
      <c r="C17" s="4">
        <v>5.99</v>
      </c>
      <c r="D17" s="4">
        <f t="shared" si="1"/>
        <v>105.01</v>
      </c>
      <c r="E17" s="4">
        <f t="shared" si="2"/>
        <v>3295.73</v>
      </c>
      <c r="F17" s="4"/>
      <c r="G17" s="19"/>
      <c r="H17" s="19"/>
      <c r="I17" s="19"/>
      <c r="J17" s="19"/>
      <c r="K17" s="1"/>
      <c r="L17" s="19"/>
      <c r="Y17" s="4"/>
      <c r="Z17" s="4"/>
      <c r="AA17" s="4"/>
    </row>
    <row r="18" spans="1:27" ht="12.75">
      <c r="A18">
        <v>49</v>
      </c>
      <c r="B18" s="4"/>
      <c r="C18" s="4">
        <v>6.16</v>
      </c>
      <c r="D18" s="4">
        <f t="shared" si="1"/>
        <v>104.84</v>
      </c>
      <c r="E18" s="4">
        <f t="shared" si="2"/>
        <v>3295.56</v>
      </c>
      <c r="F18" s="4"/>
      <c r="G18" s="19"/>
      <c r="H18" s="19"/>
      <c r="I18" s="19"/>
      <c r="J18" s="4">
        <v>104.84</v>
      </c>
      <c r="K18" s="4"/>
      <c r="L18" s="19" t="s">
        <v>72</v>
      </c>
      <c r="Y18" s="4"/>
      <c r="Z18" s="4"/>
      <c r="AA18" s="4"/>
    </row>
    <row r="19" spans="1:27" ht="12.75">
      <c r="A19">
        <v>50</v>
      </c>
      <c r="B19" s="4"/>
      <c r="C19" s="4">
        <v>6.44</v>
      </c>
      <c r="D19" s="4">
        <f t="shared" si="1"/>
        <v>104.56</v>
      </c>
      <c r="E19" s="4">
        <f t="shared" si="2"/>
        <v>3295.2799999999997</v>
      </c>
      <c r="F19" s="4"/>
      <c r="G19" s="1"/>
      <c r="H19" s="1">
        <f>+(A19-A18)*($D$18-D19)*0.5</f>
        <v>0.14000000000000057</v>
      </c>
      <c r="I19" s="19"/>
      <c r="J19" s="4">
        <v>104.84</v>
      </c>
      <c r="K19" s="1"/>
      <c r="L19" s="19" t="s">
        <v>74</v>
      </c>
      <c r="Y19" s="4"/>
      <c r="Z19" s="4"/>
      <c r="AA19" s="4"/>
    </row>
    <row r="20" spans="1:27" ht="12.75">
      <c r="A20">
        <v>50.2</v>
      </c>
      <c r="B20" s="4"/>
      <c r="C20" s="4">
        <v>6.89</v>
      </c>
      <c r="D20" s="4">
        <f t="shared" si="1"/>
        <v>104.11</v>
      </c>
      <c r="E20" s="4">
        <f t="shared" si="2"/>
        <v>3294.83</v>
      </c>
      <c r="F20" s="4">
        <v>0</v>
      </c>
      <c r="G20" s="1"/>
      <c r="H20" s="1">
        <f aca="true" t="shared" si="3" ref="H20:H29">+(A20-A19)*($D$18-D20)</f>
        <v>0.14600000000000288</v>
      </c>
      <c r="I20" s="19"/>
      <c r="J20" s="4">
        <v>104.84</v>
      </c>
      <c r="K20" s="1"/>
      <c r="L20" s="19" t="s">
        <v>143</v>
      </c>
      <c r="Y20" s="4"/>
      <c r="Z20" s="4"/>
      <c r="AA20" s="4"/>
    </row>
    <row r="21" spans="1:27" ht="12.75">
      <c r="A21">
        <v>50.2</v>
      </c>
      <c r="B21" s="4"/>
      <c r="C21" s="4">
        <v>7.99</v>
      </c>
      <c r="D21" s="4">
        <f t="shared" si="1"/>
        <v>103.01</v>
      </c>
      <c r="E21" s="4">
        <f t="shared" si="2"/>
        <v>3293.73</v>
      </c>
      <c r="F21" s="4">
        <v>0.53</v>
      </c>
      <c r="G21" s="1">
        <f aca="true" t="shared" si="4" ref="G21:G27">+D21+F21</f>
        <v>103.54</v>
      </c>
      <c r="H21" s="1">
        <f t="shared" si="3"/>
        <v>0</v>
      </c>
      <c r="I21" s="19">
        <v>0.63</v>
      </c>
      <c r="J21" s="4">
        <v>104.84</v>
      </c>
      <c r="K21" s="1"/>
      <c r="L21" s="19" t="s">
        <v>76</v>
      </c>
      <c r="Y21" s="4"/>
      <c r="Z21" s="4"/>
      <c r="AA21" s="4"/>
    </row>
    <row r="22" spans="1:27" ht="12.75">
      <c r="A22">
        <v>51</v>
      </c>
      <c r="B22" s="4"/>
      <c r="C22" s="4">
        <v>8.1</v>
      </c>
      <c r="D22" s="4">
        <f t="shared" si="1"/>
        <v>102.9</v>
      </c>
      <c r="E22" s="4">
        <f t="shared" si="2"/>
        <v>3293.62</v>
      </c>
      <c r="F22" s="4">
        <v>0.62</v>
      </c>
      <c r="G22" s="1">
        <f t="shared" si="4"/>
        <v>103.52000000000001</v>
      </c>
      <c r="H22" s="1">
        <f t="shared" si="3"/>
        <v>1.5519999999999927</v>
      </c>
      <c r="I22" s="19"/>
      <c r="J22" s="4">
        <v>104.84</v>
      </c>
      <c r="K22" s="1"/>
      <c r="L22" s="19"/>
      <c r="Y22" s="4"/>
      <c r="Z22" s="4"/>
      <c r="AA22" s="4"/>
    </row>
    <row r="23" spans="1:27" ht="12.75">
      <c r="A23">
        <v>52</v>
      </c>
      <c r="B23" s="4"/>
      <c r="C23" s="4">
        <v>8.12</v>
      </c>
      <c r="D23" s="4">
        <f t="shared" si="1"/>
        <v>102.88</v>
      </c>
      <c r="E23" s="4">
        <f t="shared" si="2"/>
        <v>3293.6</v>
      </c>
      <c r="F23" s="4">
        <v>0.65</v>
      </c>
      <c r="G23" s="1">
        <f t="shared" si="4"/>
        <v>103.53</v>
      </c>
      <c r="H23" s="1">
        <f t="shared" si="3"/>
        <v>1.960000000000008</v>
      </c>
      <c r="I23" s="19"/>
      <c r="J23" s="4">
        <v>104.84</v>
      </c>
      <c r="K23" s="1"/>
      <c r="L23" s="19"/>
      <c r="Y23" s="4"/>
      <c r="Z23" s="4"/>
      <c r="AA23" s="4"/>
    </row>
    <row r="24" spans="1:27" ht="12.75">
      <c r="A24">
        <v>53</v>
      </c>
      <c r="B24" s="4"/>
      <c r="C24" s="4">
        <v>8.13</v>
      </c>
      <c r="D24" s="4">
        <f t="shared" si="1"/>
        <v>102.87</v>
      </c>
      <c r="E24" s="4">
        <f t="shared" si="2"/>
        <v>3293.5899999999997</v>
      </c>
      <c r="F24" s="4">
        <v>0.66</v>
      </c>
      <c r="G24" s="1">
        <f t="shared" si="4"/>
        <v>103.53</v>
      </c>
      <c r="H24" s="1">
        <f t="shared" si="3"/>
        <v>1.9699999999999989</v>
      </c>
      <c r="I24" s="19"/>
      <c r="J24" s="4">
        <v>104.84</v>
      </c>
      <c r="K24" s="1"/>
      <c r="L24" s="19"/>
      <c r="Y24" s="4"/>
      <c r="Z24" s="4"/>
      <c r="AA24" s="4"/>
    </row>
    <row r="25" spans="1:27" ht="12.75">
      <c r="A25">
        <v>54</v>
      </c>
      <c r="B25" s="4"/>
      <c r="C25" s="4">
        <v>8.13</v>
      </c>
      <c r="D25" s="4">
        <f t="shared" si="1"/>
        <v>102.87</v>
      </c>
      <c r="E25" s="4">
        <f t="shared" si="2"/>
        <v>3293.5899999999997</v>
      </c>
      <c r="F25" s="4">
        <v>0.66</v>
      </c>
      <c r="G25" s="1">
        <f t="shared" si="4"/>
        <v>103.53</v>
      </c>
      <c r="H25" s="1">
        <f t="shared" si="3"/>
        <v>1.9699999999999989</v>
      </c>
      <c r="I25" s="19"/>
      <c r="J25" s="4">
        <v>104.84</v>
      </c>
      <c r="K25" s="1"/>
      <c r="L25" s="19"/>
      <c r="Y25" s="4"/>
      <c r="Z25" s="4"/>
      <c r="AA25" s="4"/>
    </row>
    <row r="26" spans="1:27" ht="12.75">
      <c r="A26">
        <v>55</v>
      </c>
      <c r="B26" s="4"/>
      <c r="C26" s="4">
        <v>8.05</v>
      </c>
      <c r="D26" s="4">
        <f t="shared" si="1"/>
        <v>102.95</v>
      </c>
      <c r="E26" s="4">
        <f t="shared" si="2"/>
        <v>3293.6699999999996</v>
      </c>
      <c r="F26" s="4">
        <v>0.6</v>
      </c>
      <c r="G26" s="1">
        <f t="shared" si="4"/>
        <v>103.55</v>
      </c>
      <c r="H26" s="1">
        <f t="shared" si="3"/>
        <v>1.8900000000000006</v>
      </c>
      <c r="I26" s="19"/>
      <c r="J26" s="4">
        <v>104.84</v>
      </c>
      <c r="K26" s="1"/>
      <c r="L26" s="19"/>
      <c r="W26" s="14"/>
      <c r="Y26" s="4"/>
      <c r="Z26" s="4"/>
      <c r="AA26" s="4"/>
    </row>
    <row r="27" spans="1:27" ht="12.75">
      <c r="A27">
        <v>55.1</v>
      </c>
      <c r="B27" s="4"/>
      <c r="C27" s="4">
        <v>7.98</v>
      </c>
      <c r="D27" s="4">
        <f t="shared" si="1"/>
        <v>103.02</v>
      </c>
      <c r="E27" s="4">
        <f t="shared" si="2"/>
        <v>3293.74</v>
      </c>
      <c r="F27" s="4">
        <v>0.52</v>
      </c>
      <c r="G27" s="1">
        <f t="shared" si="4"/>
        <v>103.53999999999999</v>
      </c>
      <c r="H27" s="1">
        <f t="shared" si="3"/>
        <v>0.18200000000000333</v>
      </c>
      <c r="I27" s="1">
        <v>0.62</v>
      </c>
      <c r="J27" s="4">
        <v>104.84</v>
      </c>
      <c r="K27" s="1"/>
      <c r="L27" s="19" t="s">
        <v>75</v>
      </c>
      <c r="Y27" s="4"/>
      <c r="Z27" s="4"/>
      <c r="AA27" s="4"/>
    </row>
    <row r="28" spans="1:27" ht="12.75">
      <c r="A28">
        <v>55.1</v>
      </c>
      <c r="B28" s="4"/>
      <c r="C28" s="4">
        <v>6.89</v>
      </c>
      <c r="D28" s="4">
        <f t="shared" si="1"/>
        <v>104.11</v>
      </c>
      <c r="E28" s="4">
        <f t="shared" si="2"/>
        <v>3294.83</v>
      </c>
      <c r="F28" s="4">
        <v>0</v>
      </c>
      <c r="G28" s="1"/>
      <c r="H28" s="1">
        <f t="shared" si="3"/>
        <v>0</v>
      </c>
      <c r="I28" s="1"/>
      <c r="J28" s="4">
        <v>104.84</v>
      </c>
      <c r="K28" s="1"/>
      <c r="L28" s="19" t="s">
        <v>143</v>
      </c>
      <c r="Y28" s="4"/>
      <c r="Z28" s="4"/>
      <c r="AA28" s="4"/>
    </row>
    <row r="29" spans="1:27" ht="12.75">
      <c r="A29">
        <v>56</v>
      </c>
      <c r="B29" s="4"/>
      <c r="C29" s="4">
        <v>6.2</v>
      </c>
      <c r="D29" s="4">
        <f t="shared" si="1"/>
        <v>104.8</v>
      </c>
      <c r="E29" s="4">
        <f t="shared" si="2"/>
        <v>3295.52</v>
      </c>
      <c r="F29" s="4"/>
      <c r="G29" s="1"/>
      <c r="H29" s="1">
        <f t="shared" si="3"/>
        <v>0.03600000000000557</v>
      </c>
      <c r="I29" s="1"/>
      <c r="J29" s="4">
        <v>104.84</v>
      </c>
      <c r="K29" s="1"/>
      <c r="L29" s="19"/>
      <c r="Y29" s="4"/>
      <c r="Z29" s="4"/>
      <c r="AA29" s="4"/>
    </row>
    <row r="30" spans="1:27" ht="12.75">
      <c r="A30">
        <v>56.1</v>
      </c>
      <c r="B30" s="4"/>
      <c r="C30" s="4">
        <v>6.16</v>
      </c>
      <c r="D30" s="4">
        <v>104.84</v>
      </c>
      <c r="E30" s="4"/>
      <c r="F30" s="4"/>
      <c r="G30" s="1"/>
      <c r="H30" s="1">
        <f>+(A30-A29)*($D$18-D29)</f>
        <v>0.004000000000000682</v>
      </c>
      <c r="I30" s="1"/>
      <c r="J30" s="4">
        <v>104.84</v>
      </c>
      <c r="K30" s="1"/>
      <c r="L30" s="19" t="s">
        <v>72</v>
      </c>
      <c r="Y30" s="4"/>
      <c r="Z30" s="4"/>
      <c r="AA30" s="4"/>
    </row>
    <row r="31" spans="1:27" ht="12.75">
      <c r="A31">
        <v>57</v>
      </c>
      <c r="B31" s="4"/>
      <c r="C31" s="4">
        <v>6</v>
      </c>
      <c r="D31" s="4">
        <f t="shared" si="1"/>
        <v>105</v>
      </c>
      <c r="E31" s="4">
        <f t="shared" si="2"/>
        <v>3295.72</v>
      </c>
      <c r="F31" s="4"/>
      <c r="G31" s="1"/>
      <c r="H31" s="1"/>
      <c r="I31" s="1"/>
      <c r="J31" s="1"/>
      <c r="K31" s="1"/>
      <c r="L31" s="19"/>
      <c r="Y31" s="4"/>
      <c r="Z31" s="4"/>
      <c r="AA31" s="4"/>
    </row>
    <row r="32" spans="1:27" ht="12.75">
      <c r="A32">
        <v>58</v>
      </c>
      <c r="B32" s="4"/>
      <c r="C32" s="4">
        <v>5.64</v>
      </c>
      <c r="D32" s="4">
        <f t="shared" si="1"/>
        <v>105.36</v>
      </c>
      <c r="E32" s="4">
        <f t="shared" si="2"/>
        <v>3296.08</v>
      </c>
      <c r="F32" s="4"/>
      <c r="G32" s="1"/>
      <c r="H32" s="1"/>
      <c r="I32" s="1"/>
      <c r="J32" s="1"/>
      <c r="K32" s="1"/>
      <c r="L32" s="19"/>
      <c r="Y32" s="4"/>
      <c r="Z32" s="4"/>
      <c r="AA32" s="4"/>
    </row>
    <row r="33" spans="1:27" ht="12.75">
      <c r="A33">
        <v>59</v>
      </c>
      <c r="B33" s="4"/>
      <c r="C33" s="4">
        <v>5.46</v>
      </c>
      <c r="D33" s="4">
        <f t="shared" si="1"/>
        <v>105.54</v>
      </c>
      <c r="E33" s="4">
        <f t="shared" si="2"/>
        <v>3296.2599999999998</v>
      </c>
      <c r="F33" s="4"/>
      <c r="G33" s="1"/>
      <c r="H33" s="1"/>
      <c r="I33" s="1"/>
      <c r="J33" s="1"/>
      <c r="K33" s="1"/>
      <c r="L33" s="19"/>
      <c r="Y33" s="4"/>
      <c r="Z33" s="4"/>
      <c r="AA33" s="4"/>
    </row>
    <row r="34" spans="1:27" ht="12.75">
      <c r="A34">
        <v>60</v>
      </c>
      <c r="B34" s="4"/>
      <c r="C34" s="4">
        <v>5.23</v>
      </c>
      <c r="D34" s="4">
        <f t="shared" si="1"/>
        <v>105.77</v>
      </c>
      <c r="E34" s="4">
        <f t="shared" si="2"/>
        <v>3296.49</v>
      </c>
      <c r="F34" s="4"/>
      <c r="G34" s="19"/>
      <c r="H34" s="19"/>
      <c r="I34" s="19"/>
      <c r="J34" s="19"/>
      <c r="K34" s="1"/>
      <c r="L34" s="19"/>
      <c r="W34" s="6"/>
      <c r="Z34" s="4"/>
      <c r="AA34" s="4"/>
    </row>
    <row r="35" spans="1:27" ht="12.75">
      <c r="A35">
        <v>65</v>
      </c>
      <c r="B35" s="4"/>
      <c r="C35" s="4">
        <v>5.16</v>
      </c>
      <c r="D35" s="4">
        <f t="shared" si="1"/>
        <v>105.84</v>
      </c>
      <c r="E35" s="4">
        <f t="shared" si="2"/>
        <v>3296.56</v>
      </c>
      <c r="F35" s="4"/>
      <c r="G35" s="19"/>
      <c r="H35" s="19"/>
      <c r="I35" s="19"/>
      <c r="J35" s="19"/>
      <c r="K35" s="1"/>
      <c r="L35" s="19"/>
      <c r="W35" s="6"/>
      <c r="Z35" s="4"/>
      <c r="AA35" s="4"/>
    </row>
    <row r="36" spans="1:27" ht="12.75">
      <c r="A36">
        <v>70</v>
      </c>
      <c r="B36" s="4"/>
      <c r="C36" s="4">
        <v>5.17</v>
      </c>
      <c r="D36" s="4">
        <f t="shared" si="1"/>
        <v>105.83</v>
      </c>
      <c r="E36" s="4">
        <f t="shared" si="2"/>
        <v>3296.5499999999997</v>
      </c>
      <c r="F36" s="4"/>
      <c r="G36" s="19"/>
      <c r="H36" s="19"/>
      <c r="I36" s="19"/>
      <c r="J36" s="19"/>
      <c r="K36" s="1"/>
      <c r="L36" s="19"/>
      <c r="W36" s="6"/>
      <c r="Z36" s="4"/>
      <c r="AA36" s="4"/>
    </row>
    <row r="37" spans="1:27" ht="12.75">
      <c r="A37">
        <f aca="true" t="shared" si="5" ref="A37:A42">A36+5</f>
        <v>75</v>
      </c>
      <c r="B37" s="4"/>
      <c r="C37" s="4">
        <v>5.29</v>
      </c>
      <c r="D37" s="4">
        <f t="shared" si="1"/>
        <v>105.71</v>
      </c>
      <c r="E37" s="4">
        <f t="shared" si="2"/>
        <v>3296.43</v>
      </c>
      <c r="F37" s="4"/>
      <c r="G37" s="19"/>
      <c r="H37" s="19"/>
      <c r="I37" s="19"/>
      <c r="J37" s="19"/>
      <c r="K37" s="1"/>
      <c r="L37" s="19"/>
      <c r="W37" s="6"/>
      <c r="Y37" s="4"/>
      <c r="Z37" s="4"/>
      <c r="AA37" s="4"/>
    </row>
    <row r="38" spans="1:27" ht="12.75">
      <c r="A38">
        <f t="shared" si="5"/>
        <v>80</v>
      </c>
      <c r="B38" s="4"/>
      <c r="C38" s="4">
        <v>5.55</v>
      </c>
      <c r="D38" s="4">
        <f t="shared" si="1"/>
        <v>105.45</v>
      </c>
      <c r="E38" s="4">
        <f t="shared" si="2"/>
        <v>3296.1699999999996</v>
      </c>
      <c r="F38" s="4"/>
      <c r="G38" s="19"/>
      <c r="H38" s="19"/>
      <c r="I38" s="19"/>
      <c r="J38" s="19"/>
      <c r="K38" s="1"/>
      <c r="L38" s="19"/>
      <c r="W38" s="6"/>
      <c r="Z38" s="4"/>
      <c r="AA38" s="4"/>
    </row>
    <row r="39" spans="1:27" ht="12.75">
      <c r="A39">
        <f t="shared" si="5"/>
        <v>85</v>
      </c>
      <c r="B39" s="4"/>
      <c r="C39" s="4">
        <v>5.46</v>
      </c>
      <c r="D39" s="4">
        <f t="shared" si="1"/>
        <v>105.54</v>
      </c>
      <c r="E39" s="4">
        <f t="shared" si="2"/>
        <v>3296.2599999999998</v>
      </c>
      <c r="F39" s="4"/>
      <c r="G39" s="19"/>
      <c r="H39" s="19"/>
      <c r="I39" s="19"/>
      <c r="J39" s="19"/>
      <c r="K39" s="1"/>
      <c r="L39" s="19"/>
      <c r="W39" s="6"/>
      <c r="Z39" s="4"/>
      <c r="AA39" s="4"/>
    </row>
    <row r="40" spans="1:27" ht="12.75">
      <c r="A40">
        <f t="shared" si="5"/>
        <v>90</v>
      </c>
      <c r="B40" s="4"/>
      <c r="C40" s="4">
        <v>5.23</v>
      </c>
      <c r="D40" s="4">
        <f t="shared" si="1"/>
        <v>105.77</v>
      </c>
      <c r="E40" s="4">
        <f t="shared" si="2"/>
        <v>3296.49</v>
      </c>
      <c r="F40" s="4"/>
      <c r="G40" s="19"/>
      <c r="H40" s="19"/>
      <c r="I40" s="19"/>
      <c r="J40" s="19"/>
      <c r="K40" s="1"/>
      <c r="L40" s="19"/>
      <c r="W40" s="6"/>
      <c r="Z40" s="4"/>
      <c r="AA40" s="4"/>
    </row>
    <row r="41" spans="1:27" ht="12.75">
      <c r="A41">
        <f t="shared" si="5"/>
        <v>95</v>
      </c>
      <c r="B41" s="4"/>
      <c r="C41" s="4">
        <v>4.99</v>
      </c>
      <c r="D41" s="4">
        <f t="shared" si="1"/>
        <v>106.01</v>
      </c>
      <c r="E41" s="4">
        <f t="shared" si="2"/>
        <v>3296.73</v>
      </c>
      <c r="F41" s="4"/>
      <c r="G41" s="19"/>
      <c r="H41" s="19"/>
      <c r="I41" s="19"/>
      <c r="J41" s="19"/>
      <c r="K41" s="1"/>
      <c r="W41" s="6"/>
      <c r="Z41" s="4"/>
      <c r="AA41" s="4"/>
    </row>
    <row r="42" spans="1:28" ht="12.75">
      <c r="A42">
        <f t="shared" si="5"/>
        <v>100</v>
      </c>
      <c r="B42" s="4"/>
      <c r="C42" s="4">
        <v>5.1</v>
      </c>
      <c r="D42" s="4">
        <f t="shared" si="1"/>
        <v>105.9</v>
      </c>
      <c r="E42" s="4">
        <f t="shared" si="2"/>
        <v>3296.62</v>
      </c>
      <c r="F42" s="4"/>
      <c r="G42" s="19"/>
      <c r="H42" s="19"/>
      <c r="I42" s="19"/>
      <c r="J42" s="19"/>
      <c r="K42" s="1">
        <v>106.81</v>
      </c>
      <c r="L42" s="19" t="s">
        <v>64</v>
      </c>
      <c r="W42" s="6"/>
      <c r="Z42" s="4"/>
      <c r="AA42" s="4"/>
      <c r="AB42" s="4"/>
    </row>
    <row r="43" spans="4:23" ht="12.75">
      <c r="D43" s="4" t="s">
        <v>69</v>
      </c>
      <c r="E43" s="4"/>
      <c r="F43" s="4">
        <f>AVERAGE(F20:F28)</f>
        <v>0.47111111111111115</v>
      </c>
      <c r="G43" s="19"/>
      <c r="H43" s="1">
        <f>SUM(H19:H30)</f>
        <v>9.850000000000012</v>
      </c>
      <c r="I43" s="19"/>
      <c r="J43" s="19"/>
      <c r="K43" s="1"/>
      <c r="L43" s="19"/>
      <c r="W43" s="6"/>
    </row>
    <row r="44" spans="2:27" ht="12.75">
      <c r="B44" s="4" t="s">
        <v>15</v>
      </c>
      <c r="C44" s="4">
        <f>MAX(C8:C41)</f>
        <v>8.13</v>
      </c>
      <c r="D44" s="4">
        <v>102.87</v>
      </c>
      <c r="E44" s="4"/>
      <c r="F44" s="4"/>
      <c r="G44" s="19"/>
      <c r="H44" s="19"/>
      <c r="I44" s="19"/>
      <c r="J44" s="19"/>
      <c r="K44" s="1"/>
      <c r="L44" s="19"/>
      <c r="W44" s="6"/>
      <c r="Z44" s="4"/>
      <c r="AA44" s="4"/>
    </row>
    <row r="45" spans="2:12" ht="12.75">
      <c r="B45" s="4" t="s">
        <v>66</v>
      </c>
      <c r="C45" s="4">
        <f>+C18</f>
        <v>6.16</v>
      </c>
      <c r="D45" s="4">
        <v>104.11</v>
      </c>
      <c r="E45" s="4"/>
      <c r="F45" s="4"/>
      <c r="G45" s="19"/>
      <c r="H45" s="19"/>
      <c r="I45" s="19"/>
      <c r="J45" s="19"/>
      <c r="K45" s="1"/>
      <c r="L45" s="19"/>
    </row>
    <row r="46" spans="2:12" ht="12.75">
      <c r="B46" s="4" t="s">
        <v>67</v>
      </c>
      <c r="C46" s="4">
        <f>+D30-D24</f>
        <v>1.9699999999999989</v>
      </c>
      <c r="D46" s="4"/>
      <c r="G46" s="19"/>
      <c r="H46" s="19"/>
      <c r="I46" s="19"/>
      <c r="J46" s="19"/>
      <c r="K46" s="1"/>
      <c r="L46" s="19"/>
    </row>
    <row r="47" spans="2:12" ht="12.75">
      <c r="B47" t="s">
        <v>68</v>
      </c>
      <c r="C47" s="4"/>
      <c r="D47">
        <f>+D44+(2*C46)</f>
        <v>106.81</v>
      </c>
      <c r="F47" s="4"/>
      <c r="G47" s="19"/>
      <c r="H47" s="19"/>
      <c r="I47" s="19"/>
      <c r="J47" s="19"/>
      <c r="K47" s="1"/>
      <c r="L47" s="19"/>
    </row>
    <row r="48" spans="2:3" ht="12.75">
      <c r="B48" t="s">
        <v>123</v>
      </c>
      <c r="C48" s="6"/>
    </row>
    <row r="49" spans="2:3" ht="12.75">
      <c r="B49" t="s">
        <v>125</v>
      </c>
      <c r="C49">
        <f>+A30-A18</f>
        <v>7.100000000000001</v>
      </c>
    </row>
    <row r="50" spans="2:3" ht="12.75">
      <c r="B50" t="s">
        <v>126</v>
      </c>
      <c r="C50" s="4">
        <f>+C51/C49</f>
        <v>1.3873239436619733</v>
      </c>
    </row>
    <row r="51" spans="2:3" ht="12.75">
      <c r="B51" t="s">
        <v>127</v>
      </c>
      <c r="C51" s="4">
        <f>+H43</f>
        <v>9.850000000000012</v>
      </c>
    </row>
    <row r="52" spans="2:3" ht="12.75">
      <c r="B52" t="s">
        <v>130</v>
      </c>
      <c r="C52" s="4">
        <f>+C49/C50</f>
        <v>5.117766497461925</v>
      </c>
    </row>
    <row r="53" spans="2:3" ht="12.75">
      <c r="B53" t="s">
        <v>131</v>
      </c>
      <c r="C53" s="6" t="s">
        <v>132</v>
      </c>
    </row>
  </sheetData>
  <printOptions/>
  <pageMargins left="0.75" right="0.75" top="1" bottom="1" header="0.5" footer="0.5"/>
  <pageSetup fitToHeight="1" fitToWidth="1" horizontalDpi="300" verticalDpi="300" orientation="portrait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0.421875" style="0" customWidth="1"/>
    <col min="3" max="3" width="8.140625" style="0" customWidth="1"/>
    <col min="4" max="4" width="8.421875" style="0" customWidth="1"/>
    <col min="5" max="5" width="8.7109375" style="0" customWidth="1"/>
    <col min="6" max="6" width="7.7109375" style="0" customWidth="1"/>
    <col min="7" max="8" width="9.7109375" style="19" customWidth="1"/>
    <col min="9" max="11" width="8.7109375" style="19" customWidth="1"/>
    <col min="12" max="12" width="19.00390625" style="19" customWidth="1"/>
    <col min="13" max="13" width="10.28125" style="0" customWidth="1"/>
    <col min="30" max="16384" width="10.28125" style="0" customWidth="1"/>
  </cols>
  <sheetData>
    <row r="2" spans="1:13" ht="18">
      <c r="A2" s="10" t="s">
        <v>0</v>
      </c>
      <c r="C2" s="9"/>
      <c r="D2" s="9"/>
      <c r="E2" s="9"/>
      <c r="M2" s="4"/>
    </row>
    <row r="3" spans="1:13" ht="15.75">
      <c r="A3" s="39" t="s">
        <v>55</v>
      </c>
      <c r="G3" t="s">
        <v>71</v>
      </c>
      <c r="H3"/>
      <c r="M3" s="4"/>
    </row>
    <row r="4" spans="1:27" ht="12.75">
      <c r="A4" t="s">
        <v>80</v>
      </c>
      <c r="B4" s="44">
        <v>36689</v>
      </c>
      <c r="M4" s="4"/>
      <c r="Y4" s="4"/>
      <c r="Z4" s="4"/>
      <c r="AA4" s="4"/>
    </row>
    <row r="5" spans="1:27" ht="12.75">
      <c r="A5" s="26" t="s">
        <v>1</v>
      </c>
      <c r="B5" s="7" t="s">
        <v>2</v>
      </c>
      <c r="C5" s="16"/>
      <c r="D5" s="16"/>
      <c r="E5" s="16"/>
      <c r="F5" s="16"/>
      <c r="M5" s="4"/>
      <c r="Y5" s="4"/>
      <c r="Z5" s="4"/>
      <c r="AA5" s="4"/>
    </row>
    <row r="6" spans="1:27" ht="12.75">
      <c r="A6" s="26" t="s">
        <v>3</v>
      </c>
      <c r="B6" s="17" t="s">
        <v>5</v>
      </c>
      <c r="C6" s="17" t="s">
        <v>6</v>
      </c>
      <c r="D6" s="17" t="s">
        <v>14</v>
      </c>
      <c r="E6" s="53" t="b">
        <v>1</v>
      </c>
      <c r="F6" s="8" t="s">
        <v>7</v>
      </c>
      <c r="G6" s="8" t="s">
        <v>7</v>
      </c>
      <c r="H6" s="8" t="s">
        <v>56</v>
      </c>
      <c r="J6" s="19" t="s">
        <v>56</v>
      </c>
      <c r="K6" s="1" t="s">
        <v>65</v>
      </c>
      <c r="M6" s="4"/>
      <c r="Y6" s="4"/>
      <c r="Z6" s="4"/>
      <c r="AA6" s="4"/>
    </row>
    <row r="7" spans="1:27" ht="12.75">
      <c r="A7" s="28" t="s">
        <v>8</v>
      </c>
      <c r="B7" s="11" t="s">
        <v>10</v>
      </c>
      <c r="C7" s="11" t="s">
        <v>11</v>
      </c>
      <c r="D7" s="40" t="s">
        <v>58</v>
      </c>
      <c r="E7" s="41" t="s">
        <v>14</v>
      </c>
      <c r="F7" s="11" t="s">
        <v>12</v>
      </c>
      <c r="G7" s="41" t="s">
        <v>14</v>
      </c>
      <c r="H7" s="61" t="s">
        <v>127</v>
      </c>
      <c r="I7" s="27" t="s">
        <v>57</v>
      </c>
      <c r="J7" s="27" t="s">
        <v>14</v>
      </c>
      <c r="K7" s="2" t="s">
        <v>14</v>
      </c>
      <c r="L7" s="27" t="s">
        <v>13</v>
      </c>
      <c r="Y7" s="4"/>
      <c r="Z7" s="4"/>
      <c r="AA7" s="4"/>
    </row>
    <row r="8" spans="1:27" ht="12.75">
      <c r="A8">
        <v>0</v>
      </c>
      <c r="B8" s="4">
        <v>112.39</v>
      </c>
      <c r="C8" s="4">
        <v>4.98</v>
      </c>
      <c r="D8" s="4">
        <f>+$B$8-C8</f>
        <v>107.41</v>
      </c>
      <c r="E8" s="4">
        <f>3290.72+D8-100</f>
        <v>3298.1299999999997</v>
      </c>
      <c r="F8" s="4"/>
      <c r="G8" s="20"/>
      <c r="H8" s="20"/>
      <c r="I8" s="20"/>
      <c r="J8" s="20"/>
      <c r="K8" s="20"/>
      <c r="L8" s="20"/>
      <c r="M8" s="3"/>
      <c r="Y8" s="4"/>
      <c r="Z8" s="4"/>
      <c r="AA8" s="4"/>
    </row>
    <row r="9" spans="1:27" ht="12.75">
      <c r="A9">
        <f aca="true" t="shared" si="0" ref="A9:A19">A8+5</f>
        <v>5</v>
      </c>
      <c r="B9" s="4"/>
      <c r="C9" s="4">
        <v>4.97</v>
      </c>
      <c r="D9" s="4">
        <f aca="true" t="shared" si="1" ref="D9:D47">+$B$8-C9</f>
        <v>107.42</v>
      </c>
      <c r="E9" s="4">
        <f aca="true" t="shared" si="2" ref="E9:E47">3290.72+D9-100</f>
        <v>3298.14</v>
      </c>
      <c r="F9" s="4"/>
      <c r="G9" s="20"/>
      <c r="H9" s="20"/>
      <c r="I9" s="20"/>
      <c r="J9" s="20"/>
      <c r="K9" s="20"/>
      <c r="L9" s="20" t="s">
        <v>86</v>
      </c>
      <c r="M9" s="3"/>
      <c r="Y9" s="4"/>
      <c r="Z9" s="4"/>
      <c r="AA9" s="4"/>
    </row>
    <row r="10" spans="1:27" ht="12.75">
      <c r="A10">
        <f t="shared" si="0"/>
        <v>10</v>
      </c>
      <c r="B10" s="4"/>
      <c r="C10" s="4">
        <v>5.01</v>
      </c>
      <c r="D10" s="4">
        <f t="shared" si="1"/>
        <v>107.38</v>
      </c>
      <c r="E10" s="4">
        <f t="shared" si="2"/>
        <v>3298.1</v>
      </c>
      <c r="F10" s="4"/>
      <c r="G10" s="1"/>
      <c r="H10" s="1"/>
      <c r="I10" s="1"/>
      <c r="J10" s="1"/>
      <c r="K10" s="1"/>
      <c r="L10" s="1"/>
      <c r="M10" s="15"/>
      <c r="N10" s="3"/>
      <c r="Y10" s="4"/>
      <c r="Z10" s="4"/>
      <c r="AA10" s="4"/>
    </row>
    <row r="11" spans="1:27" ht="12.75">
      <c r="A11">
        <f t="shared" si="0"/>
        <v>15</v>
      </c>
      <c r="B11" s="4"/>
      <c r="C11" s="4">
        <v>4.99</v>
      </c>
      <c r="D11" s="4">
        <f t="shared" si="1"/>
        <v>107.4</v>
      </c>
      <c r="E11" s="4">
        <f t="shared" si="2"/>
        <v>3298.12</v>
      </c>
      <c r="F11" s="4"/>
      <c r="G11" s="1"/>
      <c r="H11" s="1"/>
      <c r="I11" s="1"/>
      <c r="J11" s="1"/>
      <c r="K11" s="1"/>
      <c r="L11" s="1"/>
      <c r="M11" s="15"/>
      <c r="N11" s="3"/>
      <c r="Y11" s="4"/>
      <c r="Z11" s="4"/>
      <c r="AA11" s="4"/>
    </row>
    <row r="12" spans="1:27" ht="12.75">
      <c r="A12">
        <f t="shared" si="0"/>
        <v>20</v>
      </c>
      <c r="B12" s="4"/>
      <c r="C12" s="4">
        <v>5.05</v>
      </c>
      <c r="D12" s="4">
        <f t="shared" si="1"/>
        <v>107.34</v>
      </c>
      <c r="E12" s="4">
        <f t="shared" si="2"/>
        <v>3298.06</v>
      </c>
      <c r="F12" s="4"/>
      <c r="G12" s="20"/>
      <c r="H12" s="20"/>
      <c r="I12" s="20"/>
      <c r="J12" s="20"/>
      <c r="K12" s="20"/>
      <c r="L12" s="20"/>
      <c r="M12" s="3"/>
      <c r="Y12" s="4"/>
      <c r="Z12" s="4"/>
      <c r="AA12" s="4"/>
    </row>
    <row r="13" spans="1:27" ht="12.75">
      <c r="A13">
        <f t="shared" si="0"/>
        <v>25</v>
      </c>
      <c r="B13" s="4"/>
      <c r="C13" s="4">
        <v>5.28</v>
      </c>
      <c r="D13" s="4">
        <f t="shared" si="1"/>
        <v>107.11</v>
      </c>
      <c r="E13" s="4">
        <f t="shared" si="2"/>
        <v>3297.83</v>
      </c>
      <c r="F13" s="4"/>
      <c r="Y13" s="4"/>
      <c r="Z13" s="4"/>
      <c r="AA13" s="4"/>
    </row>
    <row r="14" spans="1:27" ht="12.75">
      <c r="A14">
        <f t="shared" si="0"/>
        <v>30</v>
      </c>
      <c r="B14" s="4"/>
      <c r="C14" s="4">
        <v>5.13</v>
      </c>
      <c r="D14" s="4">
        <f t="shared" si="1"/>
        <v>107.26</v>
      </c>
      <c r="E14" s="4">
        <f t="shared" si="2"/>
        <v>3297.98</v>
      </c>
      <c r="F14" s="4"/>
      <c r="Y14" s="4"/>
      <c r="Z14" s="4"/>
      <c r="AA14" s="4"/>
    </row>
    <row r="15" spans="1:27" ht="12.75">
      <c r="A15">
        <f t="shared" si="0"/>
        <v>35</v>
      </c>
      <c r="B15" s="4"/>
      <c r="C15" s="4">
        <v>5.02</v>
      </c>
      <c r="D15" s="4">
        <f t="shared" si="1"/>
        <v>107.37</v>
      </c>
      <c r="E15" s="4">
        <f t="shared" si="2"/>
        <v>3298.0899999999997</v>
      </c>
      <c r="F15" s="4"/>
      <c r="Y15" s="4"/>
      <c r="Z15" s="4"/>
      <c r="AA15" s="4"/>
    </row>
    <row r="16" spans="1:27" ht="12.75">
      <c r="A16">
        <f t="shared" si="0"/>
        <v>40</v>
      </c>
      <c r="B16" s="4"/>
      <c r="C16" s="4">
        <v>5.52</v>
      </c>
      <c r="D16" s="4">
        <f t="shared" si="1"/>
        <v>106.87</v>
      </c>
      <c r="E16" s="4">
        <f t="shared" si="2"/>
        <v>3297.5899999999997</v>
      </c>
      <c r="F16" s="4"/>
      <c r="Y16" s="4"/>
      <c r="Z16" s="4"/>
      <c r="AA16" s="4"/>
    </row>
    <row r="17" spans="1:27" ht="12.75">
      <c r="A17">
        <f t="shared" si="0"/>
        <v>45</v>
      </c>
      <c r="B17" s="4"/>
      <c r="C17" s="4">
        <v>5.9</v>
      </c>
      <c r="D17" s="4">
        <f t="shared" si="1"/>
        <v>106.49</v>
      </c>
      <c r="E17" s="4">
        <f t="shared" si="2"/>
        <v>3297.2099999999996</v>
      </c>
      <c r="F17" s="4"/>
      <c r="Y17" s="4"/>
      <c r="Z17" s="4"/>
      <c r="AA17" s="4"/>
    </row>
    <row r="18" spans="1:27" ht="12.75">
      <c r="A18">
        <f t="shared" si="0"/>
        <v>50</v>
      </c>
      <c r="B18" s="4"/>
      <c r="C18" s="4">
        <v>5.72</v>
      </c>
      <c r="D18" s="4">
        <f t="shared" si="1"/>
        <v>106.67</v>
      </c>
      <c r="E18" s="4">
        <f t="shared" si="2"/>
        <v>3297.39</v>
      </c>
      <c r="F18" s="4"/>
      <c r="Y18" s="4"/>
      <c r="Z18" s="4"/>
      <c r="AA18" s="4"/>
    </row>
    <row r="19" spans="1:27" ht="12.75">
      <c r="A19">
        <f t="shared" si="0"/>
        <v>55</v>
      </c>
      <c r="B19" s="4"/>
      <c r="C19" s="4">
        <v>5.6</v>
      </c>
      <c r="D19" s="4">
        <f t="shared" si="1"/>
        <v>106.79</v>
      </c>
      <c r="E19" s="4">
        <f t="shared" si="2"/>
        <v>3297.5099999999998</v>
      </c>
      <c r="F19" s="4"/>
      <c r="W19" s="14"/>
      <c r="Y19" s="4"/>
      <c r="Z19" s="4"/>
      <c r="AA19" s="4"/>
    </row>
    <row r="20" spans="1:27" ht="12.75">
      <c r="A20">
        <v>56</v>
      </c>
      <c r="B20" s="4"/>
      <c r="C20" s="4">
        <v>5.69</v>
      </c>
      <c r="D20" s="4">
        <f t="shared" si="1"/>
        <v>106.7</v>
      </c>
      <c r="E20" s="4">
        <f t="shared" si="2"/>
        <v>3297.4199999999996</v>
      </c>
      <c r="F20" s="4"/>
      <c r="G20" s="1"/>
      <c r="H20" s="1"/>
      <c r="I20" s="1"/>
      <c r="J20" s="19">
        <v>106.7</v>
      </c>
      <c r="K20" s="1"/>
      <c r="L20" s="19" t="s">
        <v>72</v>
      </c>
      <c r="Y20" s="4"/>
      <c r="Z20" s="4"/>
      <c r="AA20" s="4"/>
    </row>
    <row r="21" spans="1:27" ht="12.75">
      <c r="A21">
        <v>57.4</v>
      </c>
      <c r="B21" s="4"/>
      <c r="C21" s="4">
        <v>6.27</v>
      </c>
      <c r="D21" s="4">
        <f t="shared" si="1"/>
        <v>106.12</v>
      </c>
      <c r="E21" s="4">
        <f t="shared" si="2"/>
        <v>3296.8399999999997</v>
      </c>
      <c r="F21" s="4"/>
      <c r="G21" s="1"/>
      <c r="H21" s="1">
        <f>+(A21-A20)*($D$20-D21)*0.5</f>
        <v>0.4059999999999984</v>
      </c>
      <c r="I21" s="1"/>
      <c r="J21" s="19">
        <v>106.7</v>
      </c>
      <c r="K21" s="1"/>
      <c r="Y21" s="4"/>
      <c r="Z21" s="4"/>
      <c r="AA21" s="4"/>
    </row>
    <row r="22" spans="1:27" ht="12.75">
      <c r="A22">
        <v>57.4</v>
      </c>
      <c r="B22" s="4"/>
      <c r="C22" s="4">
        <v>7.65</v>
      </c>
      <c r="D22" s="4">
        <f t="shared" si="1"/>
        <v>104.74</v>
      </c>
      <c r="E22" s="4">
        <f t="shared" si="2"/>
        <v>3295.4599999999996</v>
      </c>
      <c r="F22" s="4">
        <v>0.97</v>
      </c>
      <c r="G22" s="1">
        <f aca="true" t="shared" si="3" ref="G22:G29">+D22+F22</f>
        <v>105.71</v>
      </c>
      <c r="H22" s="1">
        <f>+(A22-A21)*($D$20-D22)</f>
        <v>0</v>
      </c>
      <c r="I22" s="1">
        <f>+G22+1.38</f>
        <v>107.08999999999999</v>
      </c>
      <c r="J22" s="19">
        <v>106.7</v>
      </c>
      <c r="K22" s="1"/>
      <c r="L22" s="19" t="s">
        <v>146</v>
      </c>
      <c r="Y22" s="4"/>
      <c r="Z22" s="4"/>
      <c r="AA22" s="4"/>
    </row>
    <row r="23" spans="1:27" ht="12.75">
      <c r="A23">
        <v>58</v>
      </c>
      <c r="B23" s="4"/>
      <c r="C23" s="4">
        <v>8.09</v>
      </c>
      <c r="D23" s="4">
        <f t="shared" si="1"/>
        <v>104.3</v>
      </c>
      <c r="E23" s="4">
        <f t="shared" si="2"/>
        <v>3295.02</v>
      </c>
      <c r="F23" s="4">
        <v>1.4</v>
      </c>
      <c r="G23" s="1">
        <f t="shared" si="3"/>
        <v>105.7</v>
      </c>
      <c r="H23" s="1">
        <f aca="true" t="shared" si="4" ref="H23:H30">+(A23-A22)*($D$20-D23)</f>
        <v>1.4400000000000068</v>
      </c>
      <c r="I23" s="1"/>
      <c r="J23" s="19">
        <v>106.7</v>
      </c>
      <c r="K23" s="1"/>
      <c r="L23" s="19" t="s">
        <v>147</v>
      </c>
      <c r="Y23" s="4"/>
      <c r="Z23" s="4"/>
      <c r="AA23" s="4"/>
    </row>
    <row r="24" spans="1:27" ht="12.75">
      <c r="A24">
        <v>59</v>
      </c>
      <c r="B24" s="4"/>
      <c r="C24" s="4">
        <v>8.45</v>
      </c>
      <c r="D24" s="4">
        <f t="shared" si="1"/>
        <v>103.94</v>
      </c>
      <c r="E24" s="4">
        <f t="shared" si="2"/>
        <v>3294.66</v>
      </c>
      <c r="F24" s="4">
        <v>1.76</v>
      </c>
      <c r="G24" s="1">
        <f t="shared" si="3"/>
        <v>105.7</v>
      </c>
      <c r="H24" s="1">
        <f t="shared" si="4"/>
        <v>2.760000000000005</v>
      </c>
      <c r="I24" s="1"/>
      <c r="J24" s="19">
        <v>106.7</v>
      </c>
      <c r="K24" s="1"/>
      <c r="Y24" s="4"/>
      <c r="Z24" s="4"/>
      <c r="AA24" s="4"/>
    </row>
    <row r="25" spans="1:27" ht="12.75">
      <c r="A25">
        <v>60</v>
      </c>
      <c r="B25" s="4"/>
      <c r="C25" s="4">
        <v>8.6</v>
      </c>
      <c r="D25" s="4">
        <f t="shared" si="1"/>
        <v>103.79</v>
      </c>
      <c r="E25" s="4">
        <f t="shared" si="2"/>
        <v>3294.5099999999998</v>
      </c>
      <c r="F25" s="4">
        <v>1.92</v>
      </c>
      <c r="G25" s="1">
        <f t="shared" si="3"/>
        <v>105.71000000000001</v>
      </c>
      <c r="H25" s="1">
        <f t="shared" si="4"/>
        <v>2.9099999999999966</v>
      </c>
      <c r="I25" s="1"/>
      <c r="J25" s="19">
        <v>106.7</v>
      </c>
      <c r="K25" s="1"/>
      <c r="Y25" s="4"/>
      <c r="Z25" s="4"/>
      <c r="AA25" s="4"/>
    </row>
    <row r="26" spans="1:27" ht="12.75">
      <c r="A26">
        <v>61</v>
      </c>
      <c r="B26" s="4"/>
      <c r="C26" s="4">
        <v>8.63</v>
      </c>
      <c r="D26" s="4">
        <f t="shared" si="1"/>
        <v>103.76</v>
      </c>
      <c r="E26" s="4">
        <f t="shared" si="2"/>
        <v>3294.48</v>
      </c>
      <c r="F26" s="4">
        <v>1.95</v>
      </c>
      <c r="G26" s="1">
        <f t="shared" si="3"/>
        <v>105.71000000000001</v>
      </c>
      <c r="H26" s="1">
        <f t="shared" si="4"/>
        <v>2.9399999999999977</v>
      </c>
      <c r="I26" s="1"/>
      <c r="J26" s="19">
        <v>106.7</v>
      </c>
      <c r="K26" s="1"/>
      <c r="Y26" s="4"/>
      <c r="Z26" s="4"/>
      <c r="AA26" s="4"/>
    </row>
    <row r="27" spans="1:27" ht="12.75">
      <c r="A27">
        <v>62</v>
      </c>
      <c r="B27" s="4"/>
      <c r="C27" s="4">
        <v>8.56</v>
      </c>
      <c r="D27" s="4">
        <f t="shared" si="1"/>
        <v>103.83</v>
      </c>
      <c r="E27" s="4">
        <f t="shared" si="2"/>
        <v>3294.5499999999997</v>
      </c>
      <c r="F27" s="4">
        <v>1.89</v>
      </c>
      <c r="G27" s="1">
        <f t="shared" si="3"/>
        <v>105.72</v>
      </c>
      <c r="H27" s="1">
        <f t="shared" si="4"/>
        <v>2.8700000000000045</v>
      </c>
      <c r="I27" s="1"/>
      <c r="J27" s="19">
        <v>106.7</v>
      </c>
      <c r="K27" s="1"/>
      <c r="Y27" s="4"/>
      <c r="Z27" s="4"/>
      <c r="AA27" s="4"/>
    </row>
    <row r="28" spans="1:27" ht="12.75">
      <c r="A28">
        <v>63</v>
      </c>
      <c r="B28" s="4"/>
      <c r="C28" s="4">
        <v>8.38</v>
      </c>
      <c r="D28" s="4">
        <f t="shared" si="1"/>
        <v>104.01</v>
      </c>
      <c r="E28" s="4">
        <f t="shared" si="2"/>
        <v>3294.73</v>
      </c>
      <c r="F28" s="4">
        <v>1.69</v>
      </c>
      <c r="G28" s="1">
        <f t="shared" si="3"/>
        <v>105.7</v>
      </c>
      <c r="H28" s="1">
        <f t="shared" si="4"/>
        <v>2.6899999999999977</v>
      </c>
      <c r="I28" s="1"/>
      <c r="J28" s="19">
        <v>106.7</v>
      </c>
      <c r="K28" s="1"/>
      <c r="W28" s="14"/>
      <c r="Y28" s="4"/>
      <c r="Z28" s="4"/>
      <c r="AA28" s="4"/>
    </row>
    <row r="29" spans="1:27" ht="12.75">
      <c r="A29">
        <v>64.2</v>
      </c>
      <c r="B29" s="4"/>
      <c r="C29" s="4">
        <v>7.68</v>
      </c>
      <c r="D29" s="4">
        <f t="shared" si="1"/>
        <v>104.71000000000001</v>
      </c>
      <c r="E29" s="4">
        <f t="shared" si="2"/>
        <v>3295.43</v>
      </c>
      <c r="F29" s="4">
        <v>1</v>
      </c>
      <c r="G29" s="1">
        <f t="shared" si="3"/>
        <v>105.71000000000001</v>
      </c>
      <c r="H29" s="1">
        <f t="shared" si="4"/>
        <v>2.3879999999999995</v>
      </c>
      <c r="I29" s="1"/>
      <c r="J29" s="19">
        <v>106.7</v>
      </c>
      <c r="K29" s="1"/>
      <c r="L29" s="19" t="s">
        <v>62</v>
      </c>
      <c r="W29" s="6"/>
      <c r="Z29" s="4"/>
      <c r="AA29" s="4"/>
    </row>
    <row r="30" spans="1:27" ht="12.75">
      <c r="A30">
        <v>64.2</v>
      </c>
      <c r="B30" s="4"/>
      <c r="C30" s="4">
        <v>6.29</v>
      </c>
      <c r="D30" s="4">
        <f t="shared" si="1"/>
        <v>106.1</v>
      </c>
      <c r="E30" s="4">
        <f t="shared" si="2"/>
        <v>3296.8199999999997</v>
      </c>
      <c r="F30" s="4"/>
      <c r="G30" s="1"/>
      <c r="H30" s="1">
        <f t="shared" si="4"/>
        <v>0</v>
      </c>
      <c r="I30" s="1"/>
      <c r="J30" s="19">
        <v>106.7</v>
      </c>
      <c r="K30" s="1"/>
      <c r="L30" s="19" t="s">
        <v>143</v>
      </c>
      <c r="W30" s="6"/>
      <c r="Z30" s="4"/>
      <c r="AA30" s="4"/>
    </row>
    <row r="31" spans="1:27" ht="12.75">
      <c r="A31">
        <v>64.3</v>
      </c>
      <c r="B31" s="4"/>
      <c r="C31" s="4">
        <v>5.57</v>
      </c>
      <c r="D31" s="4">
        <f t="shared" si="1"/>
        <v>106.82</v>
      </c>
      <c r="E31" s="4">
        <f t="shared" si="2"/>
        <v>3297.54</v>
      </c>
      <c r="F31" s="4"/>
      <c r="G31" s="1"/>
      <c r="H31" s="1">
        <f>+(A31-A30)*($D$20-D30)</f>
        <v>0.059999999999997444</v>
      </c>
      <c r="I31" s="1"/>
      <c r="J31" s="19">
        <v>106.7</v>
      </c>
      <c r="K31" s="1"/>
      <c r="L31" s="19" t="s">
        <v>72</v>
      </c>
      <c r="W31" s="6"/>
      <c r="Z31" s="4"/>
      <c r="AA31" s="4"/>
    </row>
    <row r="32" spans="1:27" ht="12.75">
      <c r="A32">
        <v>65</v>
      </c>
      <c r="B32" s="4"/>
      <c r="C32" s="4">
        <v>5.56</v>
      </c>
      <c r="D32" s="4">
        <f t="shared" si="1"/>
        <v>106.83</v>
      </c>
      <c r="E32" s="4">
        <f t="shared" si="2"/>
        <v>3297.5499999999997</v>
      </c>
      <c r="F32" s="4"/>
      <c r="W32" s="6"/>
      <c r="Z32" s="4"/>
      <c r="AA32" s="4"/>
    </row>
    <row r="33" spans="1:27" ht="12.75">
      <c r="A33">
        <v>66</v>
      </c>
      <c r="B33" s="4"/>
      <c r="C33" s="4">
        <v>5.55</v>
      </c>
      <c r="D33" s="4">
        <f t="shared" si="1"/>
        <v>106.84</v>
      </c>
      <c r="E33" s="4">
        <f t="shared" si="2"/>
        <v>3297.56</v>
      </c>
      <c r="F33" s="4"/>
      <c r="W33" s="6"/>
      <c r="Z33" s="4"/>
      <c r="AA33" s="4"/>
    </row>
    <row r="34" spans="1:27" ht="12.75">
      <c r="A34">
        <v>67</v>
      </c>
      <c r="B34" s="4"/>
      <c r="C34" s="4">
        <v>5.36</v>
      </c>
      <c r="D34" s="4">
        <f t="shared" si="1"/>
        <v>107.03</v>
      </c>
      <c r="E34" s="4">
        <f t="shared" si="2"/>
        <v>3297.75</v>
      </c>
      <c r="F34" s="4"/>
      <c r="W34" s="6"/>
      <c r="Z34" s="4"/>
      <c r="AA34" s="4"/>
    </row>
    <row r="35" spans="1:27" ht="12.75">
      <c r="A35">
        <v>68</v>
      </c>
      <c r="B35" s="4"/>
      <c r="C35" s="4">
        <v>5.11</v>
      </c>
      <c r="D35" s="4">
        <f t="shared" si="1"/>
        <v>107.28</v>
      </c>
      <c r="E35" s="4">
        <f t="shared" si="2"/>
        <v>3298</v>
      </c>
      <c r="F35" s="4"/>
      <c r="W35" s="6"/>
      <c r="Z35" s="4"/>
      <c r="AA35" s="4"/>
    </row>
    <row r="36" spans="1:27" ht="12.75">
      <c r="A36">
        <v>69</v>
      </c>
      <c r="B36" s="4"/>
      <c r="C36" s="4">
        <v>4.93</v>
      </c>
      <c r="D36" s="4">
        <f t="shared" si="1"/>
        <v>107.46000000000001</v>
      </c>
      <c r="E36" s="4">
        <f t="shared" si="2"/>
        <v>3298.18</v>
      </c>
      <c r="F36" s="4"/>
      <c r="W36" s="6"/>
      <c r="Z36" s="4"/>
      <c r="AA36" s="4"/>
    </row>
    <row r="37" spans="1:27" ht="12.75">
      <c r="A37">
        <v>70</v>
      </c>
      <c r="B37" s="4"/>
      <c r="C37" s="4">
        <v>4.97</v>
      </c>
      <c r="D37" s="4">
        <f t="shared" si="1"/>
        <v>107.42</v>
      </c>
      <c r="E37" s="4">
        <f t="shared" si="2"/>
        <v>3298.14</v>
      </c>
      <c r="F37" s="4"/>
      <c r="W37" s="6"/>
      <c r="Z37" s="4"/>
      <c r="AA37" s="4"/>
    </row>
    <row r="38" spans="1:27" ht="12.75">
      <c r="A38">
        <f aca="true" t="shared" si="5" ref="A38:A47">A37+5</f>
        <v>75</v>
      </c>
      <c r="B38" s="4"/>
      <c r="C38" s="4">
        <v>4.73</v>
      </c>
      <c r="D38" s="4">
        <f t="shared" si="1"/>
        <v>107.66</v>
      </c>
      <c r="E38" s="4">
        <f t="shared" si="2"/>
        <v>3298.3799999999997</v>
      </c>
      <c r="F38" s="4"/>
      <c r="W38" s="6"/>
      <c r="Z38" s="4"/>
      <c r="AA38" s="4"/>
    </row>
    <row r="39" spans="1:27" ht="12.75">
      <c r="A39">
        <f t="shared" si="5"/>
        <v>80</v>
      </c>
      <c r="B39" s="4"/>
      <c r="C39" s="4">
        <v>4.74</v>
      </c>
      <c r="D39" s="4">
        <f t="shared" si="1"/>
        <v>107.65</v>
      </c>
      <c r="E39" s="4">
        <f t="shared" si="2"/>
        <v>3298.37</v>
      </c>
      <c r="F39" s="4"/>
      <c r="W39" s="6"/>
      <c r="Y39" s="4"/>
      <c r="Z39" s="4"/>
      <c r="AA39" s="4"/>
    </row>
    <row r="40" spans="1:27" ht="12.75">
      <c r="A40">
        <f t="shared" si="5"/>
        <v>85</v>
      </c>
      <c r="B40" s="4"/>
      <c r="C40" s="4">
        <v>4.83</v>
      </c>
      <c r="D40" s="4">
        <f t="shared" si="1"/>
        <v>107.56</v>
      </c>
      <c r="E40" s="4">
        <f t="shared" si="2"/>
        <v>3298.2799999999997</v>
      </c>
      <c r="F40" s="4"/>
      <c r="W40" s="6"/>
      <c r="Z40" s="4"/>
      <c r="AA40" s="4"/>
    </row>
    <row r="41" spans="1:27" ht="12.75">
      <c r="A41">
        <f t="shared" si="5"/>
        <v>90</v>
      </c>
      <c r="B41" s="4"/>
      <c r="C41" s="4">
        <v>5.01</v>
      </c>
      <c r="D41" s="4">
        <f t="shared" si="1"/>
        <v>107.38</v>
      </c>
      <c r="E41" s="4">
        <f t="shared" si="2"/>
        <v>3298.1</v>
      </c>
      <c r="F41" s="4"/>
      <c r="W41" s="6"/>
      <c r="Z41" s="4"/>
      <c r="AA41" s="4"/>
    </row>
    <row r="42" spans="1:27" ht="12.75">
      <c r="A42">
        <f t="shared" si="5"/>
        <v>95</v>
      </c>
      <c r="B42" s="4"/>
      <c r="C42" s="4">
        <v>4.97</v>
      </c>
      <c r="D42" s="4">
        <f t="shared" si="1"/>
        <v>107.42</v>
      </c>
      <c r="E42" s="4">
        <f t="shared" si="2"/>
        <v>3298.14</v>
      </c>
      <c r="F42" s="4"/>
      <c r="W42" s="6"/>
      <c r="Z42" s="4"/>
      <c r="AA42" s="4"/>
    </row>
    <row r="43" spans="1:27" ht="12.75">
      <c r="A43">
        <f t="shared" si="5"/>
        <v>100</v>
      </c>
      <c r="B43" s="4"/>
      <c r="C43" s="4">
        <v>5.01</v>
      </c>
      <c r="D43" s="4">
        <f t="shared" si="1"/>
        <v>107.38</v>
      </c>
      <c r="E43" s="4">
        <f t="shared" si="2"/>
        <v>3298.1</v>
      </c>
      <c r="F43" s="4"/>
      <c r="W43" s="6"/>
      <c r="Z43" s="4"/>
      <c r="AA43" s="4"/>
    </row>
    <row r="44" spans="1:28" ht="12.75">
      <c r="A44">
        <f t="shared" si="5"/>
        <v>105</v>
      </c>
      <c r="B44" s="4"/>
      <c r="C44" s="4">
        <v>5.16</v>
      </c>
      <c r="D44" s="4">
        <f t="shared" si="1"/>
        <v>107.23</v>
      </c>
      <c r="E44" s="4">
        <f t="shared" si="2"/>
        <v>3297.95</v>
      </c>
      <c r="F44" s="4"/>
      <c r="W44" s="6"/>
      <c r="Z44" s="4"/>
      <c r="AA44" s="4"/>
      <c r="AB44" s="4"/>
    </row>
    <row r="45" spans="1:23" ht="12.75">
      <c r="A45">
        <f t="shared" si="5"/>
        <v>110</v>
      </c>
      <c r="B45" s="4"/>
      <c r="C45" s="4">
        <v>5.14</v>
      </c>
      <c r="D45" s="4">
        <f t="shared" si="1"/>
        <v>107.25</v>
      </c>
      <c r="E45" s="4">
        <f t="shared" si="2"/>
        <v>3297.97</v>
      </c>
      <c r="F45" s="4"/>
      <c r="W45" s="6"/>
    </row>
    <row r="46" spans="1:27" ht="12.75">
      <c r="A46">
        <f t="shared" si="5"/>
        <v>115</v>
      </c>
      <c r="B46" s="4"/>
      <c r="C46" s="4">
        <v>5.26</v>
      </c>
      <c r="D46" s="4">
        <f t="shared" si="1"/>
        <v>107.13</v>
      </c>
      <c r="E46" s="4">
        <f t="shared" si="2"/>
        <v>3297.85</v>
      </c>
      <c r="F46" s="4"/>
      <c r="W46" s="6"/>
      <c r="Z46" s="4"/>
      <c r="AA46" s="4"/>
    </row>
    <row r="47" spans="1:6" ht="12.75">
      <c r="A47">
        <f t="shared" si="5"/>
        <v>120</v>
      </c>
      <c r="B47" s="4"/>
      <c r="C47" s="4">
        <v>5.15</v>
      </c>
      <c r="D47" s="4">
        <f t="shared" si="1"/>
        <v>107.24</v>
      </c>
      <c r="E47" s="4">
        <f t="shared" si="2"/>
        <v>3297.9599999999996</v>
      </c>
      <c r="F47" s="4"/>
    </row>
    <row r="48" ht="12.75">
      <c r="H48" s="1">
        <f>SUM(H21:H31)</f>
        <v>18.464000000000002</v>
      </c>
    </row>
    <row r="49" spans="2:6" ht="12.75">
      <c r="B49" s="4"/>
      <c r="F49" s="4"/>
    </row>
    <row r="50" spans="2:6" ht="12.75">
      <c r="B50" s="4"/>
      <c r="C50" s="4"/>
      <c r="D50" s="4" t="s">
        <v>69</v>
      </c>
      <c r="E50" s="4"/>
      <c r="F50" s="4"/>
    </row>
    <row r="51" spans="2:6" ht="12.75">
      <c r="B51" s="4" t="s">
        <v>15</v>
      </c>
      <c r="C51" s="4">
        <f>MAX(C8:C47)</f>
        <v>8.63</v>
      </c>
      <c r="D51" s="4">
        <v>103.76</v>
      </c>
      <c r="E51" s="4"/>
      <c r="F51" s="4"/>
    </row>
    <row r="52" spans="2:6" ht="12.75">
      <c r="B52" s="4" t="s">
        <v>66</v>
      </c>
      <c r="C52" s="4">
        <v>5.69</v>
      </c>
      <c r="D52" s="4">
        <v>106.7</v>
      </c>
      <c r="E52" s="4"/>
      <c r="F52" s="4"/>
    </row>
    <row r="53" spans="2:6" ht="12.75">
      <c r="B53" s="4" t="s">
        <v>67</v>
      </c>
      <c r="C53" s="4">
        <f>+C51-C52</f>
        <v>2.9400000000000004</v>
      </c>
      <c r="D53" s="4"/>
      <c r="E53" s="4"/>
      <c r="F53" s="4"/>
    </row>
    <row r="54" spans="2:6" ht="12.75">
      <c r="B54" t="s">
        <v>68</v>
      </c>
      <c r="C54" s="4" t="s">
        <v>145</v>
      </c>
      <c r="D54" s="4">
        <f>+D51+(2*C53)</f>
        <v>109.64</v>
      </c>
      <c r="E54" s="42" t="s">
        <v>73</v>
      </c>
      <c r="F54" s="4"/>
    </row>
    <row r="55" spans="2:6" ht="12.75">
      <c r="B55" t="s">
        <v>123</v>
      </c>
      <c r="C55" s="4" t="s">
        <v>145</v>
      </c>
      <c r="D55" s="4"/>
      <c r="E55" s="4"/>
      <c r="F55" s="4"/>
    </row>
    <row r="56" spans="2:5" ht="12.75">
      <c r="B56" t="s">
        <v>125</v>
      </c>
      <c r="C56">
        <f>+A31-A20</f>
        <v>8.299999999999997</v>
      </c>
      <c r="D56" s="4"/>
      <c r="E56" s="4"/>
    </row>
    <row r="57" spans="2:5" ht="12.75">
      <c r="B57" t="s">
        <v>126</v>
      </c>
      <c r="C57" s="4">
        <f>+C58/C56</f>
        <v>2.224578313253013</v>
      </c>
      <c r="D57" s="15"/>
      <c r="E57" s="15"/>
    </row>
    <row r="58" spans="2:5" ht="12.75">
      <c r="B58" t="s">
        <v>127</v>
      </c>
      <c r="C58" s="4">
        <f>+H48</f>
        <v>18.464000000000002</v>
      </c>
      <c r="D58" s="15"/>
      <c r="E58" s="15"/>
    </row>
    <row r="59" spans="2:6" ht="12.75">
      <c r="B59" t="s">
        <v>130</v>
      </c>
      <c r="C59" s="4">
        <f>+C56/C57</f>
        <v>3.7310441941074495</v>
      </c>
      <c r="F59" s="14"/>
    </row>
    <row r="60" spans="2:3" ht="12.75">
      <c r="B60" t="s">
        <v>131</v>
      </c>
      <c r="C60" s="6" t="s">
        <v>132</v>
      </c>
    </row>
    <row r="61" spans="6:16" ht="12.75">
      <c r="F61" s="4"/>
      <c r="G61" s="1"/>
      <c r="H61" s="1"/>
      <c r="I61" s="1"/>
      <c r="J61" s="1"/>
      <c r="K61" s="1"/>
      <c r="L61" s="1"/>
      <c r="M61" s="4"/>
      <c r="N61" s="15"/>
      <c r="O61" s="3"/>
      <c r="P61" s="3"/>
    </row>
    <row r="62" spans="6:16" ht="12.75">
      <c r="F62" s="4"/>
      <c r="G62" s="1"/>
      <c r="H62" s="1"/>
      <c r="I62" s="1"/>
      <c r="J62" s="1"/>
      <c r="K62" s="1"/>
      <c r="L62" s="1"/>
      <c r="M62" s="4"/>
      <c r="N62" s="15"/>
      <c r="O62" s="3"/>
      <c r="P62" s="3"/>
    </row>
    <row r="63" spans="6:16" ht="12.75">
      <c r="F63" s="4"/>
      <c r="G63" s="1"/>
      <c r="H63" s="1"/>
      <c r="I63" s="1"/>
      <c r="J63" s="1"/>
      <c r="K63" s="1"/>
      <c r="L63" s="1"/>
      <c r="M63" s="4"/>
      <c r="N63" s="15"/>
      <c r="O63" s="3"/>
      <c r="P63" s="3"/>
    </row>
    <row r="64" spans="6:16" ht="12.75">
      <c r="F64" s="4"/>
      <c r="G64" s="1"/>
      <c r="H64" s="1"/>
      <c r="I64" s="1"/>
      <c r="J64" s="1"/>
      <c r="K64" s="1"/>
      <c r="L64" s="1"/>
      <c r="M64" s="5"/>
      <c r="N64" s="15"/>
      <c r="O64" s="3"/>
      <c r="P64" s="3"/>
    </row>
    <row r="65" spans="6:16" ht="12.75">
      <c r="F65" s="4"/>
      <c r="G65" s="1"/>
      <c r="H65" s="1"/>
      <c r="I65" s="1"/>
      <c r="J65" s="1"/>
      <c r="K65" s="1"/>
      <c r="L65" s="1"/>
      <c r="N65" s="15"/>
      <c r="O65" s="3"/>
      <c r="P65" s="3"/>
    </row>
  </sheetData>
  <printOptions/>
  <pageMargins left="0.75" right="0.75" top="1" bottom="1" header="0.5" footer="0.5"/>
  <pageSetup fitToHeight="1" fitToWidth="1" horizontalDpi="300" verticalDpi="300" orientation="portrait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0.140625" style="0" bestFit="1" customWidth="1"/>
    <col min="11" max="11" width="9.140625" style="4" customWidth="1"/>
  </cols>
  <sheetData>
    <row r="1" spans="7:12" ht="12.75">
      <c r="G1" s="19"/>
      <c r="H1" s="19"/>
      <c r="I1" s="19"/>
      <c r="J1" s="19"/>
      <c r="K1" s="1"/>
      <c r="L1" s="19"/>
    </row>
    <row r="2" spans="1:13" ht="18">
      <c r="A2" s="10" t="s">
        <v>0</v>
      </c>
      <c r="C2" s="9"/>
      <c r="D2" s="9"/>
      <c r="E2" s="9"/>
      <c r="G2" s="19"/>
      <c r="H2" s="19"/>
      <c r="I2" s="19"/>
      <c r="J2" s="19"/>
      <c r="K2" s="1"/>
      <c r="L2" s="19"/>
      <c r="M2" s="4"/>
    </row>
    <row r="3" spans="1:13" ht="15.75">
      <c r="A3" s="39" t="s">
        <v>148</v>
      </c>
      <c r="G3" s="19"/>
      <c r="H3" s="19"/>
      <c r="I3" s="19"/>
      <c r="J3" s="19"/>
      <c r="K3" s="1"/>
      <c r="L3" s="19"/>
      <c r="M3" s="4"/>
    </row>
    <row r="4" spans="1:27" ht="12.75">
      <c r="A4" t="s">
        <v>80</v>
      </c>
      <c r="B4" s="44">
        <v>36689</v>
      </c>
      <c r="F4" t="s">
        <v>85</v>
      </c>
      <c r="G4" s="19"/>
      <c r="H4" s="19"/>
      <c r="I4" s="19"/>
      <c r="J4" s="19"/>
      <c r="K4" s="1"/>
      <c r="L4" s="19"/>
      <c r="M4" s="4"/>
      <c r="Y4" s="4"/>
      <c r="Z4" s="4"/>
      <c r="AA4" s="4"/>
    </row>
    <row r="5" spans="1:27" ht="12.75">
      <c r="A5" s="26" t="s">
        <v>1</v>
      </c>
      <c r="B5" s="7" t="s">
        <v>2</v>
      </c>
      <c r="C5" s="16"/>
      <c r="D5" s="16"/>
      <c r="E5" s="16"/>
      <c r="F5" s="16"/>
      <c r="G5" s="19"/>
      <c r="H5" s="19"/>
      <c r="I5" s="19"/>
      <c r="J5" s="19"/>
      <c r="K5" s="1"/>
      <c r="L5" s="19"/>
      <c r="M5" s="4"/>
      <c r="Y5" s="4"/>
      <c r="Z5" s="4"/>
      <c r="AA5" s="4"/>
    </row>
    <row r="6" spans="1:27" ht="12.75">
      <c r="A6" s="26" t="s">
        <v>3</v>
      </c>
      <c r="B6" s="17" t="s">
        <v>5</v>
      </c>
      <c r="C6" s="17" t="s">
        <v>6</v>
      </c>
      <c r="D6" s="17" t="s">
        <v>14</v>
      </c>
      <c r="E6" s="53" t="b">
        <v>1</v>
      </c>
      <c r="F6" s="8" t="s">
        <v>7</v>
      </c>
      <c r="G6" s="8" t="s">
        <v>7</v>
      </c>
      <c r="H6" s="8" t="s">
        <v>56</v>
      </c>
      <c r="I6" s="19"/>
      <c r="J6" s="19" t="s">
        <v>56</v>
      </c>
      <c r="K6" s="1" t="s">
        <v>65</v>
      </c>
      <c r="L6" s="19"/>
      <c r="M6" s="4"/>
      <c r="Y6" s="4"/>
      <c r="Z6" s="4"/>
      <c r="AA6" s="4"/>
    </row>
    <row r="7" spans="1:27" ht="12.75">
      <c r="A7" s="28" t="s">
        <v>8</v>
      </c>
      <c r="B7" s="11" t="s">
        <v>10</v>
      </c>
      <c r="C7" s="11" t="s">
        <v>11</v>
      </c>
      <c r="D7" s="40" t="s">
        <v>58</v>
      </c>
      <c r="E7" s="41" t="s">
        <v>14</v>
      </c>
      <c r="F7" s="11" t="s">
        <v>12</v>
      </c>
      <c r="G7" s="41" t="s">
        <v>14</v>
      </c>
      <c r="H7" s="61" t="s">
        <v>127</v>
      </c>
      <c r="I7" s="27" t="s">
        <v>57</v>
      </c>
      <c r="J7" s="27" t="s">
        <v>14</v>
      </c>
      <c r="K7" s="2" t="s">
        <v>14</v>
      </c>
      <c r="L7" s="27" t="s">
        <v>13</v>
      </c>
      <c r="Y7" s="4"/>
      <c r="Z7" s="4"/>
      <c r="AA7" s="4"/>
    </row>
    <row r="8" spans="1:27" ht="12.75">
      <c r="A8">
        <v>0</v>
      </c>
      <c r="B8" s="4">
        <v>112.39</v>
      </c>
      <c r="C8" s="4">
        <v>4.26</v>
      </c>
      <c r="D8" s="4">
        <f>+$B$8-C8</f>
        <v>108.13</v>
      </c>
      <c r="E8" s="4">
        <f>3290.72+D8-100</f>
        <v>3298.85</v>
      </c>
      <c r="F8" s="4"/>
      <c r="G8" s="20"/>
      <c r="H8" s="20"/>
      <c r="I8" s="20"/>
      <c r="J8" s="20"/>
      <c r="L8" s="20" t="s">
        <v>63</v>
      </c>
      <c r="M8" s="3"/>
      <c r="Y8" s="4"/>
      <c r="Z8" s="4"/>
      <c r="AA8" s="4"/>
    </row>
    <row r="9" spans="1:27" ht="12.75">
      <c r="A9">
        <f aca="true" t="shared" si="0" ref="A9:A17">A8+5</f>
        <v>5</v>
      </c>
      <c r="B9" s="4"/>
      <c r="C9" s="4">
        <v>4.2</v>
      </c>
      <c r="D9" s="4">
        <f aca="true" t="shared" si="1" ref="D9:D40">+$B$8-C9</f>
        <v>108.19</v>
      </c>
      <c r="E9" s="4">
        <f aca="true" t="shared" si="2" ref="E9:E40">3290.72+D9-100</f>
        <v>3298.91</v>
      </c>
      <c r="F9" s="4"/>
      <c r="G9" s="20"/>
      <c r="H9" s="20"/>
      <c r="I9" s="20"/>
      <c r="J9" s="20"/>
      <c r="K9" s="1"/>
      <c r="L9" s="20"/>
      <c r="M9" s="3"/>
      <c r="Y9" s="4"/>
      <c r="Z9" s="4"/>
      <c r="AA9" s="4"/>
    </row>
    <row r="10" spans="1:27" ht="12.75">
      <c r="A10">
        <f t="shared" si="0"/>
        <v>10</v>
      </c>
      <c r="B10" s="4"/>
      <c r="C10" s="4">
        <v>4.09</v>
      </c>
      <c r="D10" s="4">
        <f t="shared" si="1"/>
        <v>108.3</v>
      </c>
      <c r="E10" s="4">
        <f t="shared" si="2"/>
        <v>3299.02</v>
      </c>
      <c r="F10" s="4"/>
      <c r="G10" s="8"/>
      <c r="H10" s="1"/>
      <c r="I10" s="1"/>
      <c r="J10" s="1"/>
      <c r="K10" s="1"/>
      <c r="L10" s="1"/>
      <c r="M10" s="15"/>
      <c r="N10" s="3"/>
      <c r="Y10" s="4"/>
      <c r="Z10" s="4"/>
      <c r="AA10" s="4"/>
    </row>
    <row r="11" spans="1:27" ht="12.75">
      <c r="A11">
        <f t="shared" si="0"/>
        <v>15</v>
      </c>
      <c r="B11" s="4"/>
      <c r="C11" s="4">
        <v>4.25</v>
      </c>
      <c r="D11" s="4">
        <f t="shared" si="1"/>
        <v>108.14</v>
      </c>
      <c r="E11" s="4">
        <f t="shared" si="2"/>
        <v>3298.8599999999997</v>
      </c>
      <c r="F11" s="4"/>
      <c r="G11" s="1"/>
      <c r="H11" s="1"/>
      <c r="I11" s="1"/>
      <c r="J11" s="1"/>
      <c r="K11" s="1"/>
      <c r="L11" s="1"/>
      <c r="M11" s="15"/>
      <c r="N11" s="3"/>
      <c r="Y11" s="4"/>
      <c r="Z11" s="4"/>
      <c r="AA11" s="4"/>
    </row>
    <row r="12" spans="1:27" ht="12.75">
      <c r="A12">
        <f t="shared" si="0"/>
        <v>20</v>
      </c>
      <c r="B12" s="4"/>
      <c r="C12" s="4">
        <v>4.35</v>
      </c>
      <c r="D12" s="4">
        <f t="shared" si="1"/>
        <v>108.04</v>
      </c>
      <c r="E12" s="4">
        <f t="shared" si="2"/>
        <v>3298.7599999999998</v>
      </c>
      <c r="F12" s="4"/>
      <c r="G12" s="20"/>
      <c r="H12" s="20"/>
      <c r="I12" s="20"/>
      <c r="J12" s="20"/>
      <c r="K12" s="1">
        <v>108.02</v>
      </c>
      <c r="L12" s="20" t="s">
        <v>65</v>
      </c>
      <c r="M12" s="3"/>
      <c r="Y12" s="4"/>
      <c r="Z12" s="4"/>
      <c r="AA12" s="4"/>
    </row>
    <row r="13" spans="1:27" ht="12.75">
      <c r="A13">
        <f>A12+5</f>
        <v>25</v>
      </c>
      <c r="B13" s="4"/>
      <c r="C13" s="4">
        <v>4.32</v>
      </c>
      <c r="D13" s="4">
        <f t="shared" si="1"/>
        <v>108.07</v>
      </c>
      <c r="E13" s="4">
        <f t="shared" si="2"/>
        <v>3298.79</v>
      </c>
      <c r="F13" s="4"/>
      <c r="G13" s="19"/>
      <c r="H13" s="19"/>
      <c r="I13" s="19"/>
      <c r="J13" s="19"/>
      <c r="L13" s="19"/>
      <c r="Y13" s="4"/>
      <c r="Z13" s="4"/>
      <c r="AA13" s="4"/>
    </row>
    <row r="14" spans="1:27" ht="12.75">
      <c r="A14">
        <f t="shared" si="0"/>
        <v>30</v>
      </c>
      <c r="B14" s="4"/>
      <c r="C14" s="4">
        <v>4.57</v>
      </c>
      <c r="D14" s="4">
        <f t="shared" si="1"/>
        <v>107.82</v>
      </c>
      <c r="E14" s="4">
        <f t="shared" si="2"/>
        <v>3298.54</v>
      </c>
      <c r="F14" s="4"/>
      <c r="G14" s="19"/>
      <c r="H14" s="19"/>
      <c r="I14" s="19"/>
      <c r="J14" s="19"/>
      <c r="K14" s="1"/>
      <c r="L14" s="19"/>
      <c r="Y14" s="4"/>
      <c r="Z14" s="4"/>
      <c r="AA14" s="4"/>
    </row>
    <row r="15" spans="1:27" ht="12.75">
      <c r="A15">
        <f t="shared" si="0"/>
        <v>35</v>
      </c>
      <c r="B15" s="4"/>
      <c r="C15" s="4">
        <v>4.5</v>
      </c>
      <c r="D15" s="4">
        <f t="shared" si="1"/>
        <v>107.89</v>
      </c>
      <c r="E15" s="4">
        <f t="shared" si="2"/>
        <v>3298.6099999999997</v>
      </c>
      <c r="F15" s="4"/>
      <c r="G15" s="19"/>
      <c r="H15" s="19"/>
      <c r="I15" s="19"/>
      <c r="J15" s="19"/>
      <c r="K15" s="1"/>
      <c r="L15" s="19"/>
      <c r="Y15" s="4"/>
      <c r="Z15" s="4"/>
      <c r="AA15" s="4"/>
    </row>
    <row r="16" spans="1:27" ht="12.75">
      <c r="A16">
        <f t="shared" si="0"/>
        <v>40</v>
      </c>
      <c r="B16" s="4"/>
      <c r="C16" s="4">
        <v>4.63</v>
      </c>
      <c r="D16" s="4">
        <f t="shared" si="1"/>
        <v>107.76</v>
      </c>
      <c r="E16" s="4">
        <f t="shared" si="2"/>
        <v>3298.48</v>
      </c>
      <c r="F16" s="4"/>
      <c r="G16" s="19"/>
      <c r="H16" s="19"/>
      <c r="I16" s="19"/>
      <c r="J16" s="19"/>
      <c r="K16" s="1">
        <v>108.02</v>
      </c>
      <c r="L16" s="19"/>
      <c r="Y16" s="4"/>
      <c r="Z16" s="4"/>
      <c r="AA16" s="4"/>
    </row>
    <row r="17" spans="1:27" ht="12.75">
      <c r="A17">
        <f t="shared" si="0"/>
        <v>45</v>
      </c>
      <c r="B17" s="4"/>
      <c r="C17" s="4">
        <v>5.32</v>
      </c>
      <c r="D17" s="4">
        <f t="shared" si="1"/>
        <v>107.07</v>
      </c>
      <c r="E17" s="4">
        <f t="shared" si="2"/>
        <v>3297.79</v>
      </c>
      <c r="F17" s="4"/>
      <c r="G17" s="19"/>
      <c r="I17" s="19"/>
      <c r="J17" s="19"/>
      <c r="K17" s="1"/>
      <c r="L17" s="19"/>
      <c r="Y17" s="4"/>
      <c r="Z17" s="4"/>
      <c r="AA17" s="4"/>
    </row>
    <row r="18" spans="1:27" ht="12.75">
      <c r="A18">
        <v>48</v>
      </c>
      <c r="B18" s="4"/>
      <c r="C18" s="4">
        <v>5.77</v>
      </c>
      <c r="D18" s="4">
        <f t="shared" si="1"/>
        <v>106.62</v>
      </c>
      <c r="E18" s="4">
        <f t="shared" si="2"/>
        <v>3297.3399999999997</v>
      </c>
      <c r="F18" s="4"/>
      <c r="G18" s="19"/>
      <c r="I18" s="19"/>
      <c r="J18" s="4">
        <v>106.62</v>
      </c>
      <c r="L18" s="19" t="s">
        <v>59</v>
      </c>
      <c r="Y18" s="4"/>
      <c r="Z18" s="4"/>
      <c r="AA18" s="4"/>
    </row>
    <row r="19" spans="1:27" ht="12.75">
      <c r="A19">
        <v>48.2</v>
      </c>
      <c r="B19" s="4"/>
      <c r="C19" s="4">
        <v>6.46</v>
      </c>
      <c r="D19" s="4">
        <f t="shared" si="1"/>
        <v>105.93</v>
      </c>
      <c r="E19" s="4">
        <f t="shared" si="2"/>
        <v>3296.6499999999996</v>
      </c>
      <c r="F19" s="4">
        <v>0</v>
      </c>
      <c r="G19" s="1">
        <f>+D19+F19</f>
        <v>105.93</v>
      </c>
      <c r="H19" s="1">
        <f>+(A19-A18)*($D$18-D19)*0.5</f>
        <v>0.06900000000000076</v>
      </c>
      <c r="I19" s="19"/>
      <c r="J19" s="4">
        <v>106.62</v>
      </c>
      <c r="K19" s="1"/>
      <c r="L19" s="19" t="s">
        <v>61</v>
      </c>
      <c r="Y19" s="4"/>
      <c r="Z19" s="4"/>
      <c r="AA19" s="4"/>
    </row>
    <row r="20" spans="1:27" ht="12.75">
      <c r="A20">
        <v>49</v>
      </c>
      <c r="B20" s="4"/>
      <c r="C20" s="4">
        <v>7.17</v>
      </c>
      <c r="D20" s="4">
        <f t="shared" si="1"/>
        <v>105.22</v>
      </c>
      <c r="E20" s="4">
        <f t="shared" si="2"/>
        <v>3295.9399999999996</v>
      </c>
      <c r="F20" s="4">
        <v>0.71</v>
      </c>
      <c r="G20" s="1">
        <f aca="true" t="shared" si="3" ref="G20:G29">+D20+F20</f>
        <v>105.92999999999999</v>
      </c>
      <c r="H20" s="1">
        <f>+(A20-A19)*($D$18-D20)</f>
        <v>1.1200000000000006</v>
      </c>
      <c r="I20" s="19"/>
      <c r="J20" s="4">
        <v>106.62</v>
      </c>
      <c r="K20" s="1"/>
      <c r="L20" s="19"/>
      <c r="Y20" s="4"/>
      <c r="Z20" s="4"/>
      <c r="AA20" s="4"/>
    </row>
    <row r="21" spans="1:27" ht="12.75">
      <c r="A21">
        <f>A17+5</f>
        <v>50</v>
      </c>
      <c r="B21" s="4"/>
      <c r="C21" s="4">
        <v>7</v>
      </c>
      <c r="D21" s="4">
        <f t="shared" si="1"/>
        <v>105.39</v>
      </c>
      <c r="E21" s="4">
        <f t="shared" si="2"/>
        <v>3296.1099999999997</v>
      </c>
      <c r="F21" s="4">
        <v>0.6</v>
      </c>
      <c r="G21" s="1">
        <f t="shared" si="3"/>
        <v>105.99</v>
      </c>
      <c r="H21" s="1">
        <f aca="true" t="shared" si="4" ref="H21:H30">+(A21-A20)*($D$18-D21)</f>
        <v>1.230000000000004</v>
      </c>
      <c r="I21" s="19"/>
      <c r="J21" s="4">
        <v>106.62</v>
      </c>
      <c r="K21" s="1"/>
      <c r="L21" s="19"/>
      <c r="Y21" s="4"/>
      <c r="Z21" s="4"/>
      <c r="AA21" s="4"/>
    </row>
    <row r="22" spans="1:27" ht="12.75">
      <c r="A22">
        <v>51</v>
      </c>
      <c r="B22" s="4"/>
      <c r="C22" s="4">
        <v>7.13</v>
      </c>
      <c r="D22" s="4">
        <f t="shared" si="1"/>
        <v>105.26</v>
      </c>
      <c r="E22" s="4">
        <f t="shared" si="2"/>
        <v>3295.98</v>
      </c>
      <c r="F22" s="4">
        <v>0.48</v>
      </c>
      <c r="G22" s="1">
        <f t="shared" si="3"/>
        <v>105.74000000000001</v>
      </c>
      <c r="H22" s="1">
        <f t="shared" si="4"/>
        <v>1.3599999999999994</v>
      </c>
      <c r="I22" s="19"/>
      <c r="J22" s="4">
        <v>106.62</v>
      </c>
      <c r="K22" s="1"/>
      <c r="L22" s="19"/>
      <c r="Y22" s="4"/>
      <c r="Z22" s="4"/>
      <c r="AA22" s="4"/>
    </row>
    <row r="23" spans="1:27" ht="12.75">
      <c r="A23">
        <v>52</v>
      </c>
      <c r="B23" s="4"/>
      <c r="C23" s="4">
        <v>6.96</v>
      </c>
      <c r="D23" s="4">
        <f t="shared" si="1"/>
        <v>105.43</v>
      </c>
      <c r="E23" s="4">
        <f t="shared" si="2"/>
        <v>3296.1499999999996</v>
      </c>
      <c r="F23" s="4">
        <v>0.4</v>
      </c>
      <c r="G23" s="1">
        <f t="shared" si="3"/>
        <v>105.83000000000001</v>
      </c>
      <c r="H23" s="1">
        <f t="shared" si="4"/>
        <v>1.1899999999999977</v>
      </c>
      <c r="I23" s="19"/>
      <c r="J23" s="4">
        <v>106.62</v>
      </c>
      <c r="K23" s="1"/>
      <c r="L23" s="19"/>
      <c r="Y23" s="4"/>
      <c r="Z23" s="4"/>
      <c r="AA23" s="4"/>
    </row>
    <row r="24" spans="1:27" ht="12.75">
      <c r="A24">
        <v>53</v>
      </c>
      <c r="B24" s="4"/>
      <c r="C24" s="4">
        <v>7.04</v>
      </c>
      <c r="D24" s="4">
        <f t="shared" si="1"/>
        <v>105.35</v>
      </c>
      <c r="E24" s="4">
        <f t="shared" si="2"/>
        <v>3296.0699999999997</v>
      </c>
      <c r="F24" s="4">
        <v>0.43</v>
      </c>
      <c r="G24" s="1">
        <f t="shared" si="3"/>
        <v>105.78</v>
      </c>
      <c r="H24" s="1">
        <f t="shared" si="4"/>
        <v>1.2700000000000102</v>
      </c>
      <c r="I24" s="19"/>
      <c r="J24" s="4">
        <v>106.62</v>
      </c>
      <c r="K24" s="1"/>
      <c r="L24" s="19"/>
      <c r="Y24" s="4"/>
      <c r="Z24" s="4"/>
      <c r="AA24" s="4"/>
    </row>
    <row r="25" spans="1:27" ht="12.75">
      <c r="A25">
        <v>54</v>
      </c>
      <c r="B25" s="4"/>
      <c r="C25" s="4">
        <v>6.9</v>
      </c>
      <c r="D25" s="4">
        <f t="shared" si="1"/>
        <v>105.49</v>
      </c>
      <c r="E25" s="4">
        <f t="shared" si="2"/>
        <v>3296.2099999999996</v>
      </c>
      <c r="F25" s="4">
        <v>0.34</v>
      </c>
      <c r="G25" s="1">
        <f t="shared" si="3"/>
        <v>105.83</v>
      </c>
      <c r="H25" s="1">
        <f t="shared" si="4"/>
        <v>1.1300000000000097</v>
      </c>
      <c r="I25" s="19"/>
      <c r="J25" s="4">
        <v>106.62</v>
      </c>
      <c r="K25" s="1"/>
      <c r="L25" s="19"/>
      <c r="Y25" s="4"/>
      <c r="Z25" s="4"/>
      <c r="AA25" s="4"/>
    </row>
    <row r="26" spans="1:27" ht="12.75">
      <c r="A26">
        <f>A21+5</f>
        <v>55</v>
      </c>
      <c r="B26" s="4"/>
      <c r="C26" s="4">
        <v>6.86</v>
      </c>
      <c r="D26" s="4">
        <f t="shared" si="1"/>
        <v>105.53</v>
      </c>
      <c r="E26" s="4">
        <f t="shared" si="2"/>
        <v>3296.25</v>
      </c>
      <c r="F26" s="4">
        <v>0.34</v>
      </c>
      <c r="G26" s="1">
        <f t="shared" si="3"/>
        <v>105.87</v>
      </c>
      <c r="H26" s="1">
        <f t="shared" si="4"/>
        <v>1.0900000000000034</v>
      </c>
      <c r="I26" s="19"/>
      <c r="J26" s="4">
        <v>106.62</v>
      </c>
      <c r="K26" s="1"/>
      <c r="L26" s="19"/>
      <c r="W26" s="14"/>
      <c r="Y26" s="4"/>
      <c r="Z26" s="4"/>
      <c r="AA26" s="4"/>
    </row>
    <row r="27" spans="1:27" ht="12.75">
      <c r="A27">
        <v>56</v>
      </c>
      <c r="B27" s="4"/>
      <c r="C27" s="4">
        <v>6.83</v>
      </c>
      <c r="D27" s="4">
        <f t="shared" si="1"/>
        <v>105.56</v>
      </c>
      <c r="E27" s="4">
        <f t="shared" si="2"/>
        <v>3296.2799999999997</v>
      </c>
      <c r="F27" s="4">
        <v>0.35</v>
      </c>
      <c r="G27" s="1">
        <f t="shared" si="3"/>
        <v>105.91</v>
      </c>
      <c r="H27" s="1">
        <f t="shared" si="4"/>
        <v>1.0600000000000023</v>
      </c>
      <c r="I27" s="1"/>
      <c r="J27" s="4">
        <v>106.62</v>
      </c>
      <c r="K27" s="1"/>
      <c r="L27" s="19"/>
      <c r="Y27" s="4"/>
      <c r="Z27" s="4"/>
      <c r="AA27" s="4"/>
    </row>
    <row r="28" spans="1:27" ht="12.75">
      <c r="A28">
        <v>57</v>
      </c>
      <c r="B28" s="4"/>
      <c r="C28" s="4">
        <v>6.76</v>
      </c>
      <c r="D28" s="4">
        <f t="shared" si="1"/>
        <v>105.63</v>
      </c>
      <c r="E28" s="4">
        <f t="shared" si="2"/>
        <v>3296.35</v>
      </c>
      <c r="F28" s="4">
        <v>0.28</v>
      </c>
      <c r="G28" s="1">
        <f t="shared" si="3"/>
        <v>105.91</v>
      </c>
      <c r="H28" s="1">
        <f t="shared" si="4"/>
        <v>0.9900000000000091</v>
      </c>
      <c r="I28" s="1"/>
      <c r="J28" s="4">
        <v>106.62</v>
      </c>
      <c r="K28" s="1"/>
      <c r="L28" s="19"/>
      <c r="Y28" s="4"/>
      <c r="Z28" s="4"/>
      <c r="AA28" s="4"/>
    </row>
    <row r="29" spans="1:27" ht="12.75">
      <c r="A29">
        <v>57.5</v>
      </c>
      <c r="B29" s="4"/>
      <c r="C29" s="4">
        <v>6.48</v>
      </c>
      <c r="D29" s="4">
        <f t="shared" si="1"/>
        <v>105.91</v>
      </c>
      <c r="E29" s="4">
        <f t="shared" si="2"/>
        <v>3296.6299999999997</v>
      </c>
      <c r="F29" s="4">
        <v>0</v>
      </c>
      <c r="G29" s="1">
        <f t="shared" si="3"/>
        <v>105.91</v>
      </c>
      <c r="H29" s="1">
        <f t="shared" si="4"/>
        <v>0.355000000000004</v>
      </c>
      <c r="I29" s="1"/>
      <c r="J29" s="4">
        <v>106.62</v>
      </c>
      <c r="K29" s="1"/>
      <c r="L29" s="19" t="s">
        <v>62</v>
      </c>
      <c r="Y29" s="4"/>
      <c r="Z29" s="4"/>
      <c r="AA29" s="4"/>
    </row>
    <row r="30" spans="1:27" ht="12.75">
      <c r="A30">
        <v>58</v>
      </c>
      <c r="B30" s="4"/>
      <c r="C30" s="4">
        <v>6.1</v>
      </c>
      <c r="D30" s="4">
        <f t="shared" si="1"/>
        <v>106.29</v>
      </c>
      <c r="E30" s="4">
        <f t="shared" si="2"/>
        <v>3297.0099999999998</v>
      </c>
      <c r="F30" s="4"/>
      <c r="G30" s="1"/>
      <c r="H30" s="1">
        <f t="shared" si="4"/>
        <v>0.16499999999999915</v>
      </c>
      <c r="I30" s="1"/>
      <c r="J30" s="4">
        <v>106.62</v>
      </c>
      <c r="K30" s="1"/>
      <c r="L30" s="19"/>
      <c r="Y30" s="4"/>
      <c r="Z30" s="4"/>
      <c r="AA30" s="4"/>
    </row>
    <row r="31" spans="1:27" ht="12.75">
      <c r="A31">
        <v>58.9</v>
      </c>
      <c r="B31" s="4"/>
      <c r="C31" s="4">
        <v>5.77</v>
      </c>
      <c r="D31" s="4">
        <f t="shared" si="1"/>
        <v>106.62</v>
      </c>
      <c r="E31" s="4">
        <f t="shared" si="2"/>
        <v>3297.3399999999997</v>
      </c>
      <c r="F31" s="4"/>
      <c r="G31" s="1"/>
      <c r="H31" s="1">
        <f>+(A31-A30)*($D$18-D30)</f>
        <v>0.296999999999998</v>
      </c>
      <c r="I31" s="1"/>
      <c r="J31" s="1">
        <v>106.62</v>
      </c>
      <c r="K31" s="1"/>
      <c r="L31" s="19" t="s">
        <v>60</v>
      </c>
      <c r="Y31" s="4"/>
      <c r="Z31" s="4"/>
      <c r="AA31" s="4"/>
    </row>
    <row r="32" spans="1:27" ht="12.75">
      <c r="A32">
        <v>60</v>
      </c>
      <c r="B32" s="4"/>
      <c r="C32" s="4">
        <v>5.22</v>
      </c>
      <c r="D32" s="4">
        <f t="shared" si="1"/>
        <v>107.17</v>
      </c>
      <c r="E32" s="4">
        <f t="shared" si="2"/>
        <v>3297.89</v>
      </c>
      <c r="F32" s="4"/>
      <c r="G32" s="1"/>
      <c r="H32" s="1"/>
      <c r="I32" s="1"/>
      <c r="J32" s="1"/>
      <c r="K32" s="1"/>
      <c r="L32" s="19"/>
      <c r="Y32" s="4"/>
      <c r="Z32" s="4"/>
      <c r="AA32" s="4"/>
    </row>
    <row r="33" spans="1:27" ht="12.75">
      <c r="A33">
        <v>65</v>
      </c>
      <c r="B33" s="4"/>
      <c r="C33" s="4">
        <v>5.37</v>
      </c>
      <c r="D33" s="4">
        <f t="shared" si="1"/>
        <v>107.02</v>
      </c>
      <c r="E33" s="4">
        <f t="shared" si="2"/>
        <v>3297.74</v>
      </c>
      <c r="F33" s="4"/>
      <c r="G33" s="19"/>
      <c r="H33" s="19"/>
      <c r="I33" s="19"/>
      <c r="J33" s="19"/>
      <c r="K33" s="1"/>
      <c r="L33" s="19"/>
      <c r="W33" s="6"/>
      <c r="Z33" s="4"/>
      <c r="AA33" s="4"/>
    </row>
    <row r="34" spans="1:27" ht="12.75">
      <c r="A34">
        <v>70</v>
      </c>
      <c r="B34" s="4"/>
      <c r="C34" s="4">
        <v>4.67</v>
      </c>
      <c r="D34" s="4">
        <f t="shared" si="1"/>
        <v>107.72</v>
      </c>
      <c r="E34" s="4">
        <f t="shared" si="2"/>
        <v>3298.4399999999996</v>
      </c>
      <c r="F34" s="4"/>
      <c r="G34" s="19"/>
      <c r="H34" s="19"/>
      <c r="I34" s="19"/>
      <c r="J34" s="19"/>
      <c r="K34" s="1">
        <v>108.02</v>
      </c>
      <c r="L34" s="19"/>
      <c r="W34" s="6"/>
      <c r="Z34" s="4"/>
      <c r="AA34" s="4"/>
    </row>
    <row r="35" spans="1:27" ht="12.75">
      <c r="A35">
        <f aca="true" t="shared" si="5" ref="A35:A40">A34+5</f>
        <v>75</v>
      </c>
      <c r="B35" s="4"/>
      <c r="C35" s="4">
        <v>4.4</v>
      </c>
      <c r="D35" s="4">
        <f t="shared" si="1"/>
        <v>107.99</v>
      </c>
      <c r="E35" s="4">
        <f t="shared" si="2"/>
        <v>3298.7099999999996</v>
      </c>
      <c r="F35" s="4"/>
      <c r="G35" s="19"/>
      <c r="H35" s="19"/>
      <c r="I35" s="19"/>
      <c r="J35" s="19"/>
      <c r="K35" s="1">
        <v>108.02</v>
      </c>
      <c r="L35" s="19" t="s">
        <v>65</v>
      </c>
      <c r="W35" s="6"/>
      <c r="Z35" s="4"/>
      <c r="AA35" s="4"/>
    </row>
    <row r="36" spans="1:27" ht="12.75">
      <c r="A36">
        <f t="shared" si="5"/>
        <v>80</v>
      </c>
      <c r="B36" s="4"/>
      <c r="C36" s="4">
        <v>4.2</v>
      </c>
      <c r="D36" s="4">
        <f t="shared" si="1"/>
        <v>108.19</v>
      </c>
      <c r="E36" s="4">
        <f t="shared" si="2"/>
        <v>3298.91</v>
      </c>
      <c r="F36" s="4"/>
      <c r="G36" s="19"/>
      <c r="H36" s="19"/>
      <c r="I36" s="19"/>
      <c r="J36" s="19"/>
      <c r="K36" s="1"/>
      <c r="L36" s="19"/>
      <c r="W36" s="6"/>
      <c r="Y36" s="4"/>
      <c r="Z36" s="4"/>
      <c r="AA36" s="4"/>
    </row>
    <row r="37" spans="1:27" ht="12.75">
      <c r="A37">
        <f t="shared" si="5"/>
        <v>85</v>
      </c>
      <c r="B37" s="4"/>
      <c r="C37" s="4">
        <v>4.28</v>
      </c>
      <c r="D37" s="4">
        <f t="shared" si="1"/>
        <v>108.11</v>
      </c>
      <c r="E37" s="4">
        <f t="shared" si="2"/>
        <v>3298.83</v>
      </c>
      <c r="F37" s="4"/>
      <c r="G37" s="19"/>
      <c r="H37" s="19"/>
      <c r="I37" s="19"/>
      <c r="J37" s="19"/>
      <c r="K37" s="1"/>
      <c r="L37" s="19"/>
      <c r="W37" s="6"/>
      <c r="Z37" s="4"/>
      <c r="AA37" s="4"/>
    </row>
    <row r="38" spans="1:27" ht="12.75">
      <c r="A38">
        <f t="shared" si="5"/>
        <v>90</v>
      </c>
      <c r="B38" s="4"/>
      <c r="C38" s="4">
        <v>4.11</v>
      </c>
      <c r="D38" s="4">
        <f t="shared" si="1"/>
        <v>108.28</v>
      </c>
      <c r="E38" s="4">
        <f t="shared" si="2"/>
        <v>3299</v>
      </c>
      <c r="F38" s="4"/>
      <c r="G38" s="19"/>
      <c r="H38" s="19"/>
      <c r="I38" s="19"/>
      <c r="J38" s="19"/>
      <c r="K38" s="1"/>
      <c r="L38" s="19"/>
      <c r="W38" s="6"/>
      <c r="Z38" s="4"/>
      <c r="AA38" s="4"/>
    </row>
    <row r="39" spans="1:27" ht="12.75">
      <c r="A39">
        <f t="shared" si="5"/>
        <v>95</v>
      </c>
      <c r="B39" s="4"/>
      <c r="C39" s="4">
        <v>4.1</v>
      </c>
      <c r="D39" s="4">
        <f t="shared" si="1"/>
        <v>108.29</v>
      </c>
      <c r="E39" s="4">
        <f t="shared" si="2"/>
        <v>3299.0099999999998</v>
      </c>
      <c r="F39" s="4"/>
      <c r="G39" s="19"/>
      <c r="H39" s="19"/>
      <c r="I39" s="19"/>
      <c r="J39" s="19"/>
      <c r="K39" s="1"/>
      <c r="L39" s="19"/>
      <c r="W39" s="6"/>
      <c r="Z39" s="4"/>
      <c r="AA39" s="4"/>
    </row>
    <row r="40" spans="1:27" ht="12.75">
      <c r="A40">
        <f t="shared" si="5"/>
        <v>100</v>
      </c>
      <c r="B40" s="4"/>
      <c r="C40" s="4">
        <v>4.07</v>
      </c>
      <c r="D40" s="4">
        <f t="shared" si="1"/>
        <v>108.32</v>
      </c>
      <c r="E40" s="4">
        <f t="shared" si="2"/>
        <v>3299.04</v>
      </c>
      <c r="F40" s="4"/>
      <c r="G40" s="19"/>
      <c r="H40" s="19"/>
      <c r="I40" s="19"/>
      <c r="J40" s="19"/>
      <c r="K40" s="1"/>
      <c r="L40" s="19" t="s">
        <v>64</v>
      </c>
      <c r="W40" s="6"/>
      <c r="Z40" s="4"/>
      <c r="AA40" s="4"/>
    </row>
    <row r="41" spans="2:28" ht="12.75">
      <c r="B41" s="4"/>
      <c r="C41" s="4"/>
      <c r="D41" s="4" t="s">
        <v>69</v>
      </c>
      <c r="E41" s="4"/>
      <c r="F41" s="4">
        <f>AVERAGE(F19:F29)</f>
        <v>0.35727272727272724</v>
      </c>
      <c r="G41" s="19"/>
      <c r="H41" s="1">
        <f>SUM(H19:H31)</f>
        <v>11.32600000000004</v>
      </c>
      <c r="I41" s="19"/>
      <c r="J41" s="19"/>
      <c r="K41" s="1"/>
      <c r="L41" s="19"/>
      <c r="W41" s="6"/>
      <c r="Z41" s="4"/>
      <c r="AA41" s="4"/>
      <c r="AB41" s="4"/>
    </row>
    <row r="42" spans="2:23" ht="12.75">
      <c r="B42" s="4" t="s">
        <v>15</v>
      </c>
      <c r="C42" s="4">
        <f>MAX(C8:C40)</f>
        <v>7.17</v>
      </c>
      <c r="D42" s="4">
        <v>105.22</v>
      </c>
      <c r="E42" s="4"/>
      <c r="F42" s="4"/>
      <c r="G42" s="19"/>
      <c r="H42" s="19"/>
      <c r="I42" s="19"/>
      <c r="J42" s="19"/>
      <c r="K42" s="1"/>
      <c r="L42" s="19"/>
      <c r="W42" s="6"/>
    </row>
    <row r="43" spans="2:27" ht="12.75">
      <c r="B43" s="4" t="s">
        <v>66</v>
      </c>
      <c r="C43" s="4">
        <v>5.77</v>
      </c>
      <c r="D43" s="4">
        <v>106.62</v>
      </c>
      <c r="E43" s="4"/>
      <c r="F43" s="4"/>
      <c r="G43" s="19"/>
      <c r="H43" s="19"/>
      <c r="I43" s="19"/>
      <c r="J43" s="19"/>
      <c r="K43" s="1"/>
      <c r="L43" s="19"/>
      <c r="W43" s="6"/>
      <c r="Z43" s="4"/>
      <c r="AA43" s="4"/>
    </row>
    <row r="44" spans="2:12" ht="12.75">
      <c r="B44" s="4" t="s">
        <v>67</v>
      </c>
      <c r="C44" s="4">
        <f>+C42-C43</f>
        <v>1.4000000000000004</v>
      </c>
      <c r="D44" s="4"/>
      <c r="E44" s="4"/>
      <c r="F44" s="4"/>
      <c r="G44" s="19"/>
      <c r="H44" s="19"/>
      <c r="I44" s="19"/>
      <c r="J44" s="19"/>
      <c r="K44" s="1"/>
      <c r="L44" s="19"/>
    </row>
    <row r="45" spans="2:12" ht="12.75">
      <c r="B45" t="s">
        <v>68</v>
      </c>
      <c r="C45" s="4"/>
      <c r="D45">
        <f>+D42+(2*C44)</f>
        <v>108.02</v>
      </c>
      <c r="G45" s="19"/>
      <c r="H45" s="19"/>
      <c r="I45" s="19"/>
      <c r="J45" s="19"/>
      <c r="K45" s="1"/>
      <c r="L45" s="19"/>
    </row>
    <row r="46" spans="2:12" ht="12.75">
      <c r="B46" t="s">
        <v>123</v>
      </c>
      <c r="C46">
        <v>55</v>
      </c>
      <c r="F46" s="4"/>
      <c r="G46" s="19"/>
      <c r="H46" s="19"/>
      <c r="I46" s="19"/>
      <c r="J46" s="19"/>
      <c r="K46" s="1"/>
      <c r="L46" s="19"/>
    </row>
    <row r="47" spans="2:12" ht="12.75">
      <c r="B47" t="s">
        <v>125</v>
      </c>
      <c r="C47" s="4">
        <v>10.9</v>
      </c>
      <c r="D47" s="4"/>
      <c r="E47" s="4"/>
      <c r="F47" s="4"/>
      <c r="G47" s="19"/>
      <c r="H47" s="19"/>
      <c r="I47" s="19"/>
      <c r="J47" s="19"/>
      <c r="K47" s="1"/>
      <c r="L47" s="19"/>
    </row>
    <row r="48" spans="2:12" ht="12.75">
      <c r="B48" t="s">
        <v>126</v>
      </c>
      <c r="C48">
        <v>1.04</v>
      </c>
      <c r="F48" s="4"/>
      <c r="G48" s="19"/>
      <c r="H48" s="19"/>
      <c r="I48" s="19"/>
      <c r="J48" s="19"/>
      <c r="K48" s="1"/>
      <c r="L48" s="19"/>
    </row>
    <row r="49" spans="2:12" ht="12.75">
      <c r="B49" t="s">
        <v>127</v>
      </c>
      <c r="C49" s="4">
        <v>11.33</v>
      </c>
      <c r="D49" s="4"/>
      <c r="E49" s="4"/>
      <c r="F49" s="4"/>
      <c r="G49" s="19"/>
      <c r="H49" s="19"/>
      <c r="I49" s="19"/>
      <c r="J49" s="19"/>
      <c r="K49" s="1"/>
      <c r="L49" s="19"/>
    </row>
    <row r="50" spans="2:12" ht="12.75">
      <c r="B50" t="s">
        <v>130</v>
      </c>
      <c r="C50" s="4">
        <f>+C47/C48</f>
        <v>10.48076923076923</v>
      </c>
      <c r="D50" s="4"/>
      <c r="E50" s="4"/>
      <c r="F50" s="4"/>
      <c r="G50" s="19"/>
      <c r="H50" s="19"/>
      <c r="I50" s="19"/>
      <c r="J50" s="19"/>
      <c r="K50" s="1"/>
      <c r="L50" s="19"/>
    </row>
    <row r="51" spans="2:12" ht="12.75">
      <c r="B51" t="s">
        <v>131</v>
      </c>
      <c r="C51" s="4" t="s">
        <v>132</v>
      </c>
      <c r="D51" s="4"/>
      <c r="E51" s="4"/>
      <c r="F51" s="4"/>
      <c r="G51" s="19"/>
      <c r="H51" s="19"/>
      <c r="I51" s="19"/>
      <c r="J51" s="19"/>
      <c r="K51" s="1"/>
      <c r="L51" s="19"/>
    </row>
    <row r="52" spans="2:12" ht="12.75">
      <c r="B52" s="4"/>
      <c r="C52" s="4"/>
      <c r="D52" s="4"/>
      <c r="E52" s="4"/>
      <c r="F52" s="4"/>
      <c r="G52" s="19"/>
      <c r="H52" s="19"/>
      <c r="I52" s="19"/>
      <c r="J52" s="19"/>
      <c r="K52" s="1"/>
      <c r="L52" s="19"/>
    </row>
    <row r="53" spans="3:12" ht="12.75">
      <c r="C53" s="4"/>
      <c r="D53" s="4"/>
      <c r="E53" s="4"/>
      <c r="G53" s="19"/>
      <c r="H53" s="19"/>
      <c r="I53" s="19"/>
      <c r="J53" s="19"/>
      <c r="K53" s="1"/>
      <c r="L53" s="19"/>
    </row>
  </sheetData>
  <printOptions/>
  <pageMargins left="0.75" right="0.75" top="1" bottom="1" header="0.5" footer="0.5"/>
  <pageSetup fitToHeight="1" fitToWidth="1" horizontalDpi="300" verticalDpi="300" orientation="portrait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0.140625" style="0" bestFit="1" customWidth="1"/>
    <col min="11" max="11" width="9.140625" style="4" customWidth="1"/>
    <col min="15" max="15" width="11.00390625" style="0" customWidth="1"/>
  </cols>
  <sheetData>
    <row r="1" spans="7:12" ht="12.75">
      <c r="G1" s="19"/>
      <c r="H1" s="19"/>
      <c r="I1" s="19"/>
      <c r="J1" s="19"/>
      <c r="K1" s="1"/>
      <c r="L1" s="19"/>
    </row>
    <row r="2" spans="1:13" ht="18">
      <c r="A2" s="10" t="s">
        <v>313</v>
      </c>
      <c r="C2" s="9"/>
      <c r="D2" s="9"/>
      <c r="E2" s="9"/>
      <c r="G2" s="19"/>
      <c r="H2" s="19"/>
      <c r="I2" s="19"/>
      <c r="J2" s="19"/>
      <c r="K2" s="1"/>
      <c r="L2" s="19"/>
      <c r="M2" s="4"/>
    </row>
    <row r="3" spans="1:13" ht="15.75">
      <c r="A3" s="39" t="s">
        <v>324</v>
      </c>
      <c r="E3" t="s">
        <v>325</v>
      </c>
      <c r="G3" s="19"/>
      <c r="H3" s="19"/>
      <c r="I3" s="19"/>
      <c r="J3" s="19"/>
      <c r="K3" s="1"/>
      <c r="L3" s="19"/>
      <c r="M3" s="4"/>
    </row>
    <row r="4" spans="1:27" ht="12.75">
      <c r="A4" t="s">
        <v>80</v>
      </c>
      <c r="B4" s="44">
        <v>37082</v>
      </c>
      <c r="E4" s="153" t="s">
        <v>314</v>
      </c>
      <c r="G4" s="19"/>
      <c r="H4" s="19"/>
      <c r="I4" s="19"/>
      <c r="J4" s="19"/>
      <c r="K4" s="1"/>
      <c r="L4" s="19"/>
      <c r="M4" s="4"/>
      <c r="Y4" s="4"/>
      <c r="Z4" s="4"/>
      <c r="AA4" s="4"/>
    </row>
    <row r="5" spans="1:27" ht="12.75">
      <c r="A5" s="26" t="s">
        <v>1</v>
      </c>
      <c r="B5" s="7" t="s">
        <v>2</v>
      </c>
      <c r="C5" s="16"/>
      <c r="D5" s="16"/>
      <c r="E5" s="16"/>
      <c r="F5" s="16"/>
      <c r="G5" s="19"/>
      <c r="H5" s="19"/>
      <c r="I5" s="19"/>
      <c r="J5" s="19"/>
      <c r="K5" s="1"/>
      <c r="L5" s="19"/>
      <c r="M5" s="4"/>
      <c r="Y5" s="4"/>
      <c r="Z5" s="4"/>
      <c r="AA5" s="4"/>
    </row>
    <row r="6" spans="1:27" ht="12.75">
      <c r="A6" s="26" t="s">
        <v>3</v>
      </c>
      <c r="B6" s="17" t="s">
        <v>5</v>
      </c>
      <c r="C6" s="17" t="s">
        <v>6</v>
      </c>
      <c r="D6" s="17" t="s">
        <v>14</v>
      </c>
      <c r="E6" s="53" t="b">
        <v>1</v>
      </c>
      <c r="F6" s="8" t="s">
        <v>7</v>
      </c>
      <c r="G6" s="8" t="s">
        <v>7</v>
      </c>
      <c r="H6" s="8" t="s">
        <v>56</v>
      </c>
      <c r="I6" s="19"/>
      <c r="J6" s="19" t="s">
        <v>56</v>
      </c>
      <c r="K6" s="1" t="s">
        <v>65</v>
      </c>
      <c r="L6" s="19"/>
      <c r="M6" s="4"/>
      <c r="Y6" s="4"/>
      <c r="Z6" s="4"/>
      <c r="AA6" s="4"/>
    </row>
    <row r="7" spans="1:27" ht="12.75">
      <c r="A7" s="28" t="s">
        <v>8</v>
      </c>
      <c r="B7" s="11" t="s">
        <v>10</v>
      </c>
      <c r="C7" s="11" t="s">
        <v>11</v>
      </c>
      <c r="D7" s="40" t="s">
        <v>58</v>
      </c>
      <c r="E7" s="41" t="s">
        <v>14</v>
      </c>
      <c r="F7" s="11" t="s">
        <v>12</v>
      </c>
      <c r="G7" s="41" t="s">
        <v>14</v>
      </c>
      <c r="H7" s="61" t="s">
        <v>127</v>
      </c>
      <c r="I7" s="27" t="s">
        <v>328</v>
      </c>
      <c r="J7" s="27" t="s">
        <v>14</v>
      </c>
      <c r="K7" s="2" t="s">
        <v>14</v>
      </c>
      <c r="L7" s="27" t="s">
        <v>13</v>
      </c>
      <c r="Y7" s="4"/>
      <c r="Z7" s="4"/>
      <c r="AA7" s="4"/>
    </row>
    <row r="8" spans="1:27" ht="12.75">
      <c r="A8">
        <v>0</v>
      </c>
      <c r="B8" s="4">
        <v>103.85</v>
      </c>
      <c r="C8" s="4">
        <v>3.81</v>
      </c>
      <c r="D8" s="4">
        <f>+$B$8-C8</f>
        <v>100.03999999999999</v>
      </c>
      <c r="E8" s="4">
        <f>3290.72+D8-100</f>
        <v>3290.7599999999998</v>
      </c>
      <c r="F8" s="4" t="s">
        <v>327</v>
      </c>
      <c r="G8" s="20"/>
      <c r="H8" s="20"/>
      <c r="I8" s="20"/>
      <c r="J8" s="20"/>
      <c r="L8" s="20" t="s">
        <v>331</v>
      </c>
      <c r="M8" s="3"/>
      <c r="Y8" s="4"/>
      <c r="Z8" s="4"/>
      <c r="AA8" s="4"/>
    </row>
    <row r="9" spans="1:27" ht="12.75">
      <c r="A9">
        <v>0</v>
      </c>
      <c r="B9" s="4"/>
      <c r="C9" s="4">
        <v>4.05</v>
      </c>
      <c r="D9" s="4">
        <f aca="true" t="shared" si="0" ref="D9:D71">+$B$8-C9</f>
        <v>99.8</v>
      </c>
      <c r="E9" s="4">
        <f aca="true" t="shared" si="1" ref="E9:E71">3290.72+D9-100</f>
        <v>3290.52</v>
      </c>
      <c r="F9" s="4"/>
      <c r="G9" s="20"/>
      <c r="H9" s="20"/>
      <c r="I9" s="20"/>
      <c r="J9" s="20"/>
      <c r="K9" s="1"/>
      <c r="L9" s="20" t="s">
        <v>317</v>
      </c>
      <c r="M9" s="3"/>
      <c r="Y9" s="4"/>
      <c r="Z9" s="4"/>
      <c r="AA9" s="4"/>
    </row>
    <row r="10" spans="1:27" ht="12.75">
      <c r="A10">
        <f aca="true" t="shared" si="2" ref="A10:A17">A9+5</f>
        <v>5</v>
      </c>
      <c r="B10" s="4"/>
      <c r="C10" s="4">
        <v>4.05</v>
      </c>
      <c r="D10" s="4">
        <f t="shared" si="0"/>
        <v>99.8</v>
      </c>
      <c r="E10" s="4">
        <f t="shared" si="1"/>
        <v>3290.52</v>
      </c>
      <c r="F10" s="4"/>
      <c r="G10" s="8"/>
      <c r="H10" s="1"/>
      <c r="I10" s="1"/>
      <c r="J10" s="1"/>
      <c r="K10" s="1"/>
      <c r="L10" s="1"/>
      <c r="M10" s="15"/>
      <c r="N10" s="3"/>
      <c r="Y10" s="4"/>
      <c r="Z10" s="4"/>
      <c r="AA10" s="4"/>
    </row>
    <row r="11" spans="1:27" ht="12.75">
      <c r="A11">
        <f t="shared" si="2"/>
        <v>10</v>
      </c>
      <c r="B11" s="4"/>
      <c r="C11" s="4">
        <v>4.2</v>
      </c>
      <c r="D11" s="4">
        <f t="shared" si="0"/>
        <v>99.64999999999999</v>
      </c>
      <c r="E11" s="4">
        <f t="shared" si="1"/>
        <v>3290.37</v>
      </c>
      <c r="F11" s="4"/>
      <c r="G11" s="1"/>
      <c r="H11" s="1"/>
      <c r="I11" s="1"/>
      <c r="J11" s="1"/>
      <c r="K11" s="1"/>
      <c r="L11" s="1"/>
      <c r="M11" s="15"/>
      <c r="N11" s="3"/>
      <c r="Y11" s="4"/>
      <c r="Z11" s="4"/>
      <c r="AA11" s="4"/>
    </row>
    <row r="12" spans="1:27" ht="12.75">
      <c r="A12">
        <f t="shared" si="2"/>
        <v>15</v>
      </c>
      <c r="B12" s="4"/>
      <c r="C12" s="4">
        <v>4.1</v>
      </c>
      <c r="D12" s="4">
        <f t="shared" si="0"/>
        <v>99.75</v>
      </c>
      <c r="E12" s="4">
        <f t="shared" si="1"/>
        <v>3290.47</v>
      </c>
      <c r="F12" s="4"/>
      <c r="G12" s="20"/>
      <c r="H12" s="20"/>
      <c r="I12" s="20"/>
      <c r="J12" s="20"/>
      <c r="K12" s="1">
        <v>99.87</v>
      </c>
      <c r="L12" s="20" t="s">
        <v>340</v>
      </c>
      <c r="M12" s="3"/>
      <c r="Y12" s="4"/>
      <c r="Z12" s="4"/>
      <c r="AA12" s="4"/>
    </row>
    <row r="13" spans="1:27" ht="12.75">
      <c r="A13">
        <f>A12+5</f>
        <v>20</v>
      </c>
      <c r="B13" s="4"/>
      <c r="C13" s="4">
        <v>4.3</v>
      </c>
      <c r="D13" s="4">
        <f t="shared" si="0"/>
        <v>99.55</v>
      </c>
      <c r="E13" s="4">
        <f t="shared" si="1"/>
        <v>3290.27</v>
      </c>
      <c r="F13" s="4"/>
      <c r="G13" s="19"/>
      <c r="H13" s="19"/>
      <c r="I13" s="19"/>
      <c r="J13" s="19"/>
      <c r="L13" s="19"/>
      <c r="Y13" s="4"/>
      <c r="Z13" s="4"/>
      <c r="AA13" s="4"/>
    </row>
    <row r="14" spans="1:27" ht="12.75">
      <c r="A14">
        <f t="shared" si="2"/>
        <v>25</v>
      </c>
      <c r="B14" s="4"/>
      <c r="C14" s="4">
        <v>4.18</v>
      </c>
      <c r="D14" s="4">
        <f t="shared" si="0"/>
        <v>99.66999999999999</v>
      </c>
      <c r="E14" s="4">
        <f t="shared" si="1"/>
        <v>3290.39</v>
      </c>
      <c r="F14" s="4"/>
      <c r="G14" s="19"/>
      <c r="H14" s="19"/>
      <c r="I14" s="19"/>
      <c r="J14" s="19"/>
      <c r="K14" s="1"/>
      <c r="L14" s="19"/>
      <c r="Y14" s="4"/>
      <c r="Z14" s="4"/>
      <c r="AA14" s="4"/>
    </row>
    <row r="15" spans="1:27" ht="12.75">
      <c r="A15">
        <f t="shared" si="2"/>
        <v>30</v>
      </c>
      <c r="B15" s="4"/>
      <c r="C15" s="4">
        <v>4.21</v>
      </c>
      <c r="D15" s="4">
        <f t="shared" si="0"/>
        <v>99.64</v>
      </c>
      <c r="E15" s="4">
        <f t="shared" si="1"/>
        <v>3290.3599999999997</v>
      </c>
      <c r="F15" s="4"/>
      <c r="G15" s="19"/>
      <c r="H15" s="19"/>
      <c r="I15" s="19"/>
      <c r="J15" s="19"/>
      <c r="K15" s="1"/>
      <c r="L15" s="19"/>
      <c r="Y15" s="4"/>
      <c r="Z15" s="4"/>
      <c r="AA15" s="4"/>
    </row>
    <row r="16" spans="1:27" ht="12.75">
      <c r="A16">
        <f t="shared" si="2"/>
        <v>35</v>
      </c>
      <c r="B16" s="4"/>
      <c r="C16" s="4">
        <v>4.27</v>
      </c>
      <c r="D16" s="4">
        <f t="shared" si="0"/>
        <v>99.58</v>
      </c>
      <c r="E16" s="4">
        <f t="shared" si="1"/>
        <v>3290.2999999999997</v>
      </c>
      <c r="F16" s="4"/>
      <c r="G16" s="19"/>
      <c r="H16" s="19"/>
      <c r="I16" s="19"/>
      <c r="J16" s="19"/>
      <c r="K16" s="1"/>
      <c r="L16" s="19"/>
      <c r="Y16" s="4"/>
      <c r="Z16" s="4"/>
      <c r="AA16" s="4"/>
    </row>
    <row r="17" spans="1:27" ht="12.75">
      <c r="A17">
        <f t="shared" si="2"/>
        <v>40</v>
      </c>
      <c r="B17" s="4"/>
      <c r="C17" s="4">
        <v>4.12</v>
      </c>
      <c r="D17" s="4">
        <f t="shared" si="0"/>
        <v>99.72999999999999</v>
      </c>
      <c r="E17" s="4">
        <f t="shared" si="1"/>
        <v>3290.45</v>
      </c>
      <c r="F17" s="4"/>
      <c r="G17" s="19"/>
      <c r="I17" s="19"/>
      <c r="J17" s="19"/>
      <c r="K17" s="1"/>
      <c r="L17" s="19"/>
      <c r="Y17" s="4"/>
      <c r="Z17" s="4"/>
      <c r="AA17" s="4"/>
    </row>
    <row r="18" spans="1:27" ht="12.75">
      <c r="A18">
        <v>45</v>
      </c>
      <c r="B18" s="4"/>
      <c r="C18" s="4">
        <v>4.11</v>
      </c>
      <c r="D18" s="4">
        <f t="shared" si="0"/>
        <v>99.74</v>
      </c>
      <c r="E18" s="4">
        <f t="shared" si="1"/>
        <v>3290.4599999999996</v>
      </c>
      <c r="F18" s="4"/>
      <c r="G18" s="19"/>
      <c r="I18" s="19"/>
      <c r="J18" s="4"/>
      <c r="L18" s="19"/>
      <c r="Y18" s="4"/>
      <c r="Z18" s="4"/>
      <c r="AA18" s="4"/>
    </row>
    <row r="19" spans="1:27" ht="12.75">
      <c r="A19">
        <v>50</v>
      </c>
      <c r="B19" s="4"/>
      <c r="C19" s="4">
        <v>4.07</v>
      </c>
      <c r="D19" s="4">
        <f t="shared" si="0"/>
        <v>99.78</v>
      </c>
      <c r="E19" s="4">
        <f t="shared" si="1"/>
        <v>3290.5</v>
      </c>
      <c r="F19" s="4"/>
      <c r="G19" s="1"/>
      <c r="H19" s="1"/>
      <c r="I19" s="19"/>
      <c r="J19" s="4"/>
      <c r="K19" s="1"/>
      <c r="L19" s="19"/>
      <c r="Y19" s="4"/>
      <c r="Z19" s="4"/>
      <c r="AA19" s="4"/>
    </row>
    <row r="20" spans="1:27" ht="12.75">
      <c r="A20">
        <v>55</v>
      </c>
      <c r="B20" s="4"/>
      <c r="C20" s="4">
        <v>4.13</v>
      </c>
      <c r="D20" s="4">
        <f t="shared" si="0"/>
        <v>99.72</v>
      </c>
      <c r="E20" s="4">
        <f t="shared" si="1"/>
        <v>3290.4399999999996</v>
      </c>
      <c r="F20" s="4"/>
      <c r="G20" s="1"/>
      <c r="H20" s="1"/>
      <c r="I20" s="19"/>
      <c r="J20" s="4"/>
      <c r="K20" s="1"/>
      <c r="L20" s="19"/>
      <c r="Y20" s="4"/>
      <c r="Z20" s="4"/>
      <c r="AA20" s="4"/>
    </row>
    <row r="21" spans="1:27" ht="12.75">
      <c r="A21">
        <v>60</v>
      </c>
      <c r="B21" s="4"/>
      <c r="C21" s="4">
        <v>4.1</v>
      </c>
      <c r="D21" s="4">
        <f t="shared" si="0"/>
        <v>99.75</v>
      </c>
      <c r="E21" s="4">
        <f t="shared" si="1"/>
        <v>3290.47</v>
      </c>
      <c r="F21" s="4"/>
      <c r="G21" s="1"/>
      <c r="H21" s="1"/>
      <c r="I21" s="19"/>
      <c r="J21" s="4"/>
      <c r="K21" s="1"/>
      <c r="L21" s="19"/>
      <c r="Y21" s="4"/>
      <c r="Z21" s="4"/>
      <c r="AA21" s="4"/>
    </row>
    <row r="22" spans="1:27" ht="12.75">
      <c r="A22">
        <v>65</v>
      </c>
      <c r="B22" s="4"/>
      <c r="C22" s="4">
        <v>4.16</v>
      </c>
      <c r="D22" s="4">
        <f t="shared" si="0"/>
        <v>99.69</v>
      </c>
      <c r="E22" s="4">
        <f t="shared" si="1"/>
        <v>3290.41</v>
      </c>
      <c r="F22" s="4"/>
      <c r="G22" s="1"/>
      <c r="H22" s="1"/>
      <c r="I22" s="19"/>
      <c r="J22" s="4"/>
      <c r="K22" s="1"/>
      <c r="L22" s="19"/>
      <c r="Y22" s="4"/>
      <c r="Z22" s="4"/>
      <c r="AA22" s="4"/>
    </row>
    <row r="23" spans="1:27" ht="12.75">
      <c r="A23">
        <v>70</v>
      </c>
      <c r="B23" s="4"/>
      <c r="C23" s="4">
        <v>4.04</v>
      </c>
      <c r="D23" s="4">
        <f t="shared" si="0"/>
        <v>99.80999999999999</v>
      </c>
      <c r="E23" s="4">
        <f t="shared" si="1"/>
        <v>3290.5299999999997</v>
      </c>
      <c r="F23" s="4"/>
      <c r="G23" s="1"/>
      <c r="H23" s="1"/>
      <c r="I23" s="19"/>
      <c r="J23" s="4"/>
      <c r="K23" s="1"/>
      <c r="L23" s="19"/>
      <c r="Y23" s="4"/>
      <c r="Z23" s="4"/>
      <c r="AA23" s="4"/>
    </row>
    <row r="24" spans="1:27" ht="12.75">
      <c r="A24">
        <v>75</v>
      </c>
      <c r="B24" s="4"/>
      <c r="C24" s="4">
        <v>4.2</v>
      </c>
      <c r="D24" s="4">
        <f t="shared" si="0"/>
        <v>99.64999999999999</v>
      </c>
      <c r="E24" s="4">
        <f t="shared" si="1"/>
        <v>3290.37</v>
      </c>
      <c r="F24" s="4"/>
      <c r="G24" s="1"/>
      <c r="H24" s="1"/>
      <c r="I24" s="19"/>
      <c r="J24" s="4"/>
      <c r="K24" s="1"/>
      <c r="L24" s="19"/>
      <c r="Y24" s="4"/>
      <c r="Z24" s="4"/>
      <c r="AA24" s="4"/>
    </row>
    <row r="25" spans="1:27" ht="12.75">
      <c r="A25">
        <v>76</v>
      </c>
      <c r="B25" s="4"/>
      <c r="C25" s="4">
        <v>4.16</v>
      </c>
      <c r="D25" s="4">
        <f t="shared" si="0"/>
        <v>99.69</v>
      </c>
      <c r="E25" s="4">
        <f t="shared" si="1"/>
        <v>3290.41</v>
      </c>
      <c r="F25" s="4"/>
      <c r="G25" s="1"/>
      <c r="H25" s="1"/>
      <c r="I25" s="19"/>
      <c r="J25" s="4"/>
      <c r="K25" s="1"/>
      <c r="L25" s="19"/>
      <c r="Y25" s="4"/>
      <c r="Z25" s="4"/>
      <c r="AA25" s="4"/>
    </row>
    <row r="26" spans="1:27" ht="12.75">
      <c r="A26">
        <v>77</v>
      </c>
      <c r="B26" s="4"/>
      <c r="C26" s="4">
        <v>4.14</v>
      </c>
      <c r="D26" s="4">
        <f t="shared" si="0"/>
        <v>99.71</v>
      </c>
      <c r="E26" s="4">
        <f t="shared" si="1"/>
        <v>3290.43</v>
      </c>
      <c r="F26" s="4"/>
      <c r="G26" s="1"/>
      <c r="H26" s="1"/>
      <c r="I26" s="19"/>
      <c r="J26" s="4"/>
      <c r="K26" s="1"/>
      <c r="L26" s="19"/>
      <c r="W26" s="14"/>
      <c r="Y26" s="4"/>
      <c r="Z26" s="4"/>
      <c r="AA26" s="4"/>
    </row>
    <row r="27" spans="1:27" ht="12.75">
      <c r="A27">
        <v>78</v>
      </c>
      <c r="B27" s="4"/>
      <c r="C27" s="4">
        <v>4.08</v>
      </c>
      <c r="D27" s="4">
        <f t="shared" si="0"/>
        <v>99.77</v>
      </c>
      <c r="E27" s="4">
        <f t="shared" si="1"/>
        <v>3290.49</v>
      </c>
      <c r="F27" s="4"/>
      <c r="G27" s="1"/>
      <c r="H27" s="1"/>
      <c r="I27" s="1"/>
      <c r="J27" s="4"/>
      <c r="K27" s="1"/>
      <c r="L27" s="19"/>
      <c r="Y27" s="4"/>
      <c r="Z27" s="4"/>
      <c r="AA27" s="4"/>
    </row>
    <row r="28" spans="1:27" ht="12.75">
      <c r="A28">
        <v>79</v>
      </c>
      <c r="B28" s="4"/>
      <c r="C28" s="4">
        <v>4.16</v>
      </c>
      <c r="D28" s="4">
        <f t="shared" si="0"/>
        <v>99.69</v>
      </c>
      <c r="E28" s="4">
        <f t="shared" si="1"/>
        <v>3290.41</v>
      </c>
      <c r="F28" s="4"/>
      <c r="G28" s="1"/>
      <c r="H28" s="1"/>
      <c r="I28" s="1"/>
      <c r="J28" s="4"/>
      <c r="K28" s="1"/>
      <c r="L28" s="19"/>
      <c r="Y28" s="4"/>
      <c r="Z28" s="4"/>
      <c r="AA28" s="4"/>
    </row>
    <row r="29" spans="1:27" ht="12.75">
      <c r="A29">
        <v>80</v>
      </c>
      <c r="B29" s="4"/>
      <c r="C29" s="4">
        <v>4.21</v>
      </c>
      <c r="D29" s="4">
        <f t="shared" si="0"/>
        <v>99.64</v>
      </c>
      <c r="E29" s="4">
        <f t="shared" si="1"/>
        <v>3290.3599999999997</v>
      </c>
      <c r="F29" s="4"/>
      <c r="G29" s="1"/>
      <c r="H29" s="1"/>
      <c r="I29" s="1"/>
      <c r="J29" s="4"/>
      <c r="K29" s="1">
        <v>99.87</v>
      </c>
      <c r="L29" s="19"/>
      <c r="Y29" s="4"/>
      <c r="Z29" s="4"/>
      <c r="AA29" s="4"/>
    </row>
    <row r="30" spans="1:27" ht="12.75">
      <c r="A30">
        <v>81</v>
      </c>
      <c r="B30" s="4"/>
      <c r="C30" s="4">
        <v>4.15</v>
      </c>
      <c r="D30" s="4">
        <f t="shared" si="0"/>
        <v>99.69999999999999</v>
      </c>
      <c r="E30" s="4">
        <f t="shared" si="1"/>
        <v>3290.4199999999996</v>
      </c>
      <c r="F30" s="4"/>
      <c r="G30" s="1"/>
      <c r="H30" s="1"/>
      <c r="I30" s="1"/>
      <c r="J30" s="4"/>
      <c r="K30" s="1"/>
      <c r="L30" s="19" t="s">
        <v>334</v>
      </c>
      <c r="Y30" s="4"/>
      <c r="Z30" s="4"/>
      <c r="AA30" s="4"/>
    </row>
    <row r="31" spans="1:27" ht="12.75">
      <c r="A31">
        <v>82</v>
      </c>
      <c r="B31" s="4"/>
      <c r="C31" s="4">
        <v>4.1</v>
      </c>
      <c r="D31" s="4">
        <f t="shared" si="0"/>
        <v>99.75</v>
      </c>
      <c r="E31" s="4">
        <f t="shared" si="1"/>
        <v>3290.47</v>
      </c>
      <c r="F31" s="4"/>
      <c r="G31" s="1"/>
      <c r="H31" s="1"/>
      <c r="I31" s="1"/>
      <c r="J31" s="1"/>
      <c r="K31" s="1"/>
      <c r="L31" s="19" t="s">
        <v>336</v>
      </c>
      <c r="Y31" s="4"/>
      <c r="Z31" s="4"/>
      <c r="AA31" s="4"/>
    </row>
    <row r="32" spans="1:27" ht="12.75">
      <c r="A32">
        <v>83</v>
      </c>
      <c r="B32" s="4"/>
      <c r="C32" s="4">
        <v>4.43</v>
      </c>
      <c r="D32" s="4">
        <f t="shared" si="0"/>
        <v>99.41999999999999</v>
      </c>
      <c r="E32" s="4">
        <f t="shared" si="1"/>
        <v>3290.14</v>
      </c>
      <c r="F32" s="4"/>
      <c r="G32" s="1"/>
      <c r="H32" s="1"/>
      <c r="I32" s="1"/>
      <c r="J32" s="1"/>
      <c r="K32" s="1"/>
      <c r="L32" s="19"/>
      <c r="Y32" s="4"/>
      <c r="Z32" s="4"/>
      <c r="AA32" s="4"/>
    </row>
    <row r="33" spans="1:27" ht="12.75">
      <c r="A33">
        <v>84</v>
      </c>
      <c r="B33" s="4"/>
      <c r="C33" s="4">
        <v>5.21</v>
      </c>
      <c r="D33" s="4">
        <f t="shared" si="0"/>
        <v>98.64</v>
      </c>
      <c r="E33" s="4">
        <f t="shared" si="1"/>
        <v>3289.3599999999997</v>
      </c>
      <c r="F33" s="4"/>
      <c r="G33" s="19"/>
      <c r="H33" s="19"/>
      <c r="I33" s="19"/>
      <c r="J33" s="19"/>
      <c r="K33" s="1"/>
      <c r="L33" s="19" t="s">
        <v>337</v>
      </c>
      <c r="W33" s="6"/>
      <c r="Z33" s="4"/>
      <c r="AA33" s="4"/>
    </row>
    <row r="34" spans="1:27" ht="12.75">
      <c r="A34">
        <v>85</v>
      </c>
      <c r="B34" s="4"/>
      <c r="C34" s="4">
        <v>5.57</v>
      </c>
      <c r="D34" s="4">
        <f t="shared" si="0"/>
        <v>98.28</v>
      </c>
      <c r="E34" s="4">
        <f t="shared" si="1"/>
        <v>3289</v>
      </c>
      <c r="F34" s="4"/>
      <c r="G34" s="19"/>
      <c r="H34" s="19"/>
      <c r="I34" s="19"/>
      <c r="J34" s="19">
        <v>98.4</v>
      </c>
      <c r="K34" s="1"/>
      <c r="W34" s="6"/>
      <c r="Z34" s="4"/>
      <c r="AA34" s="4"/>
    </row>
    <row r="35" spans="1:27" ht="12.75">
      <c r="A35">
        <v>86</v>
      </c>
      <c r="B35" s="4"/>
      <c r="C35" s="4">
        <v>5.89</v>
      </c>
      <c r="D35" s="4">
        <f t="shared" si="0"/>
        <v>97.96</v>
      </c>
      <c r="E35" s="4">
        <f t="shared" si="1"/>
        <v>3288.68</v>
      </c>
      <c r="F35" s="4"/>
      <c r="G35" s="19"/>
      <c r="H35" s="19"/>
      <c r="I35" s="19"/>
      <c r="J35" s="19">
        <v>98.4</v>
      </c>
      <c r="K35" s="1"/>
      <c r="L35" s="19"/>
      <c r="W35" s="6"/>
      <c r="Z35" s="4"/>
      <c r="AA35" s="4"/>
    </row>
    <row r="36" spans="1:27" ht="12.75">
      <c r="A36">
        <v>87</v>
      </c>
      <c r="B36" s="4"/>
      <c r="C36" s="4">
        <v>6.24</v>
      </c>
      <c r="D36" s="4">
        <f t="shared" si="0"/>
        <v>97.61</v>
      </c>
      <c r="E36" s="4">
        <f t="shared" si="1"/>
        <v>3288.33</v>
      </c>
      <c r="F36" s="4"/>
      <c r="G36" s="19"/>
      <c r="H36" s="19"/>
      <c r="I36" s="19"/>
      <c r="J36" s="19">
        <v>98.4</v>
      </c>
      <c r="K36" s="1"/>
      <c r="L36" s="19"/>
      <c r="W36" s="6"/>
      <c r="Y36" s="4"/>
      <c r="Z36" s="4"/>
      <c r="AA36" s="4"/>
    </row>
    <row r="37" spans="1:27" ht="12.75">
      <c r="A37">
        <v>88</v>
      </c>
      <c r="B37" s="4"/>
      <c r="C37" s="4">
        <v>6.51</v>
      </c>
      <c r="D37" s="4">
        <f t="shared" si="0"/>
        <v>97.33999999999999</v>
      </c>
      <c r="E37" s="4">
        <f t="shared" si="1"/>
        <v>3288.06</v>
      </c>
      <c r="F37" s="4"/>
      <c r="G37" s="19"/>
      <c r="H37" s="19"/>
      <c r="I37" s="19"/>
      <c r="J37" s="19">
        <v>98.4</v>
      </c>
      <c r="K37" s="1"/>
      <c r="L37" s="19"/>
      <c r="W37" s="6"/>
      <c r="Z37" s="4"/>
      <c r="AA37" s="4"/>
    </row>
    <row r="38" spans="1:27" ht="12.75">
      <c r="A38">
        <v>89</v>
      </c>
      <c r="B38" s="4"/>
      <c r="C38" s="4">
        <v>6.8</v>
      </c>
      <c r="D38" s="4">
        <f t="shared" si="0"/>
        <v>97.05</v>
      </c>
      <c r="E38" s="4">
        <f t="shared" si="1"/>
        <v>3287.77</v>
      </c>
      <c r="F38" s="4"/>
      <c r="G38" s="19"/>
      <c r="H38" s="19"/>
      <c r="I38" s="19"/>
      <c r="J38" s="19">
        <v>98.4</v>
      </c>
      <c r="K38" s="1"/>
      <c r="L38" s="19"/>
      <c r="W38" s="6"/>
      <c r="Z38" s="4"/>
      <c r="AA38" s="4"/>
    </row>
    <row r="39" spans="1:27" ht="12.75">
      <c r="A39">
        <v>90</v>
      </c>
      <c r="B39" s="4"/>
      <c r="C39" s="4">
        <v>6.92</v>
      </c>
      <c r="D39" s="4">
        <f t="shared" si="0"/>
        <v>96.92999999999999</v>
      </c>
      <c r="E39" s="4">
        <f t="shared" si="1"/>
        <v>3287.6499999999996</v>
      </c>
      <c r="F39" s="4"/>
      <c r="G39" s="19"/>
      <c r="H39" s="19"/>
      <c r="I39" s="19"/>
      <c r="J39" s="19">
        <v>98.4</v>
      </c>
      <c r="K39" s="1"/>
      <c r="L39" s="19"/>
      <c r="W39" s="6"/>
      <c r="Z39" s="4"/>
      <c r="AA39" s="4"/>
    </row>
    <row r="40" spans="1:28" ht="12.75">
      <c r="A40">
        <v>90.5</v>
      </c>
      <c r="B40" s="4"/>
      <c r="C40" s="4">
        <v>6.92</v>
      </c>
      <c r="D40" s="4">
        <f t="shared" si="0"/>
        <v>96.92999999999999</v>
      </c>
      <c r="E40" s="4">
        <f t="shared" si="1"/>
        <v>3287.6499999999996</v>
      </c>
      <c r="F40" s="4"/>
      <c r="G40" s="19"/>
      <c r="H40" s="1"/>
      <c r="I40" s="1">
        <v>97.12</v>
      </c>
      <c r="J40" s="19">
        <v>98.4</v>
      </c>
      <c r="L40" s="208" t="s">
        <v>329</v>
      </c>
      <c r="W40" s="6"/>
      <c r="Z40" s="4"/>
      <c r="AA40" s="4"/>
      <c r="AB40" s="4"/>
    </row>
    <row r="41" spans="1:23" ht="12.75">
      <c r="A41">
        <v>91</v>
      </c>
      <c r="C41" s="4">
        <v>6.91</v>
      </c>
      <c r="D41" s="4">
        <f t="shared" si="0"/>
        <v>96.94</v>
      </c>
      <c r="E41" s="4">
        <f t="shared" si="1"/>
        <v>3287.66</v>
      </c>
      <c r="F41" s="4"/>
      <c r="G41" s="19"/>
      <c r="H41" s="19"/>
      <c r="I41" s="19"/>
      <c r="J41" s="19">
        <v>98.4</v>
      </c>
      <c r="K41" s="1"/>
      <c r="L41" s="208" t="s">
        <v>330</v>
      </c>
      <c r="W41" s="6"/>
    </row>
    <row r="42" spans="1:27" ht="12.75">
      <c r="A42">
        <v>92</v>
      </c>
      <c r="C42" s="4">
        <v>6.8</v>
      </c>
      <c r="D42" s="4">
        <f t="shared" si="0"/>
        <v>97.05</v>
      </c>
      <c r="E42" s="4">
        <f t="shared" si="1"/>
        <v>3287.77</v>
      </c>
      <c r="F42" s="4"/>
      <c r="G42" s="19"/>
      <c r="H42" s="19"/>
      <c r="I42" s="19"/>
      <c r="J42" s="19">
        <v>98.4</v>
      </c>
      <c r="K42" s="1"/>
      <c r="L42" s="19"/>
      <c r="W42" s="6"/>
      <c r="Z42" s="4"/>
      <c r="AA42" s="4"/>
    </row>
    <row r="43" spans="1:12" ht="12.75">
      <c r="A43">
        <v>93</v>
      </c>
      <c r="C43" s="4">
        <v>6.47</v>
      </c>
      <c r="D43" s="4">
        <f t="shared" si="0"/>
        <v>97.38</v>
      </c>
      <c r="E43" s="4">
        <f t="shared" si="1"/>
        <v>3288.1</v>
      </c>
      <c r="F43" s="4"/>
      <c r="G43" s="19"/>
      <c r="H43" s="19"/>
      <c r="I43" s="19"/>
      <c r="J43" s="19">
        <v>98.4</v>
      </c>
      <c r="K43" s="1"/>
      <c r="L43" s="19"/>
    </row>
    <row r="44" spans="1:12" ht="12.75">
      <c r="A44">
        <v>94</v>
      </c>
      <c r="C44" s="4">
        <v>6.31</v>
      </c>
      <c r="D44" s="4">
        <f t="shared" si="0"/>
        <v>97.53999999999999</v>
      </c>
      <c r="E44" s="4">
        <f t="shared" si="1"/>
        <v>3288.2599999999998</v>
      </c>
      <c r="G44" s="19"/>
      <c r="H44" s="19"/>
      <c r="I44" s="19"/>
      <c r="J44" s="19">
        <v>98.4</v>
      </c>
      <c r="K44" s="1"/>
      <c r="L44" s="19"/>
    </row>
    <row r="45" spans="1:11" ht="12.75">
      <c r="A45">
        <v>95</v>
      </c>
      <c r="C45" s="4">
        <v>5.88</v>
      </c>
      <c r="D45" s="4">
        <f t="shared" si="0"/>
        <v>97.97</v>
      </c>
      <c r="E45" s="4">
        <f t="shared" si="1"/>
        <v>3288.6899999999996</v>
      </c>
      <c r="F45" s="4"/>
      <c r="G45" s="19"/>
      <c r="H45" s="19"/>
      <c r="I45" s="19"/>
      <c r="J45" s="19">
        <v>98.4</v>
      </c>
      <c r="K45" s="1"/>
    </row>
    <row r="46" spans="1:12" ht="12.75">
      <c r="A46">
        <v>96</v>
      </c>
      <c r="C46" s="4">
        <v>5.12</v>
      </c>
      <c r="D46" s="4">
        <f t="shared" si="0"/>
        <v>98.72999999999999</v>
      </c>
      <c r="E46" s="4">
        <f t="shared" si="1"/>
        <v>3289.45</v>
      </c>
      <c r="F46" s="4"/>
      <c r="G46" s="19"/>
      <c r="H46" s="19"/>
      <c r="I46" s="19"/>
      <c r="J46" s="19">
        <v>98.4</v>
      </c>
      <c r="K46" s="1"/>
      <c r="L46" s="19" t="s">
        <v>338</v>
      </c>
    </row>
    <row r="47" spans="1:12" ht="12.75">
      <c r="A47">
        <v>97</v>
      </c>
      <c r="C47" s="4">
        <v>4.5</v>
      </c>
      <c r="D47" s="4">
        <f t="shared" si="0"/>
        <v>99.35</v>
      </c>
      <c r="E47" s="4">
        <f t="shared" si="1"/>
        <v>3290.0699999999997</v>
      </c>
      <c r="F47" s="4"/>
      <c r="G47" s="19"/>
      <c r="H47" s="19"/>
      <c r="I47" s="19"/>
      <c r="J47" s="19"/>
      <c r="K47" s="1"/>
      <c r="L47" s="19" t="s">
        <v>335</v>
      </c>
    </row>
    <row r="48" spans="1:12" ht="12.75">
      <c r="A48">
        <v>98</v>
      </c>
      <c r="C48" s="4">
        <v>4.49</v>
      </c>
      <c r="D48" s="4">
        <f t="shared" si="0"/>
        <v>99.36</v>
      </c>
      <c r="E48" s="4">
        <f t="shared" si="1"/>
        <v>3290.08</v>
      </c>
      <c r="F48" s="4"/>
      <c r="G48" s="19"/>
      <c r="H48" s="19"/>
      <c r="I48" s="19"/>
      <c r="J48" s="19"/>
      <c r="K48" s="1"/>
      <c r="L48" s="19"/>
    </row>
    <row r="49" spans="1:12" ht="12.75">
      <c r="A49">
        <v>99</v>
      </c>
      <c r="C49" s="4">
        <v>4.38</v>
      </c>
      <c r="D49" s="4">
        <f t="shared" si="0"/>
        <v>99.47</v>
      </c>
      <c r="E49" s="4">
        <f t="shared" si="1"/>
        <v>3290.1899999999996</v>
      </c>
      <c r="F49" s="4"/>
      <c r="G49" s="19"/>
      <c r="H49" s="19"/>
      <c r="I49" s="19"/>
      <c r="J49" s="19"/>
      <c r="K49" s="1"/>
      <c r="L49" s="19"/>
    </row>
    <row r="50" spans="1:12" ht="12.75">
      <c r="A50">
        <v>100</v>
      </c>
      <c r="C50" s="4">
        <v>4.45</v>
      </c>
      <c r="D50" s="4">
        <f t="shared" si="0"/>
        <v>99.39999999999999</v>
      </c>
      <c r="E50" s="4">
        <f t="shared" si="1"/>
        <v>3290.12</v>
      </c>
      <c r="F50" s="4"/>
      <c r="G50" s="19"/>
      <c r="H50" s="19"/>
      <c r="I50" s="19"/>
      <c r="J50" s="19"/>
      <c r="K50" s="1"/>
      <c r="L50" s="19"/>
    </row>
    <row r="51" spans="1:12" ht="12.75">
      <c r="A51">
        <v>101</v>
      </c>
      <c r="B51" s="4"/>
      <c r="C51" s="4">
        <v>4.54</v>
      </c>
      <c r="D51" s="4">
        <f t="shared" si="0"/>
        <v>99.30999999999999</v>
      </c>
      <c r="E51" s="4">
        <f t="shared" si="1"/>
        <v>3290.0299999999997</v>
      </c>
      <c r="F51" s="4"/>
      <c r="G51" s="19"/>
      <c r="H51" s="19"/>
      <c r="I51" s="19"/>
      <c r="J51" s="19"/>
      <c r="K51" s="4">
        <v>99.87</v>
      </c>
      <c r="L51" s="19"/>
    </row>
    <row r="52" spans="1:12" ht="12.75">
      <c r="A52">
        <v>102</v>
      </c>
      <c r="C52" s="4">
        <v>4.48</v>
      </c>
      <c r="D52" s="4">
        <f t="shared" si="0"/>
        <v>99.36999999999999</v>
      </c>
      <c r="E52" s="4">
        <f t="shared" si="1"/>
        <v>3290.0899999999997</v>
      </c>
      <c r="G52" s="19"/>
      <c r="H52" s="19"/>
      <c r="I52" s="19"/>
      <c r="J52" s="19"/>
      <c r="K52" s="1"/>
      <c r="L52" s="19"/>
    </row>
    <row r="53" spans="1:16" ht="12.75">
      <c r="A53">
        <v>103</v>
      </c>
      <c r="C53" s="4">
        <v>4.33</v>
      </c>
      <c r="D53" s="4">
        <f t="shared" si="0"/>
        <v>99.52</v>
      </c>
      <c r="E53" s="4">
        <f t="shared" si="1"/>
        <v>3290.24</v>
      </c>
      <c r="O53" s="4" t="s">
        <v>15</v>
      </c>
      <c r="P53" s="4">
        <v>96.93</v>
      </c>
    </row>
    <row r="54" spans="1:16" ht="12.75">
      <c r="A54">
        <v>104</v>
      </c>
      <c r="C54" s="4">
        <v>4.29</v>
      </c>
      <c r="D54" s="4">
        <f t="shared" si="0"/>
        <v>99.55999999999999</v>
      </c>
      <c r="E54" s="4">
        <f t="shared" si="1"/>
        <v>3290.2799999999997</v>
      </c>
      <c r="O54" s="4" t="s">
        <v>66</v>
      </c>
      <c r="P54" s="4">
        <v>98.4</v>
      </c>
    </row>
    <row r="55" spans="1:16" ht="12.75">
      <c r="A55">
        <v>105</v>
      </c>
      <c r="C55" s="4">
        <v>4.45</v>
      </c>
      <c r="D55" s="4">
        <f t="shared" si="0"/>
        <v>99.39999999999999</v>
      </c>
      <c r="E55" s="4">
        <f t="shared" si="1"/>
        <v>3290.12</v>
      </c>
      <c r="O55" s="4" t="s">
        <v>67</v>
      </c>
      <c r="P55" s="4">
        <f>P54-P53</f>
        <v>1.4699999999999989</v>
      </c>
    </row>
    <row r="56" spans="1:16" ht="12.75">
      <c r="A56">
        <v>110</v>
      </c>
      <c r="C56" s="4">
        <v>4.36</v>
      </c>
      <c r="D56" s="4">
        <f t="shared" si="0"/>
        <v>99.49</v>
      </c>
      <c r="E56" s="4">
        <f t="shared" si="1"/>
        <v>3290.2099999999996</v>
      </c>
      <c r="O56" t="s">
        <v>68</v>
      </c>
      <c r="P56" s="4">
        <f>P54+P55</f>
        <v>99.87</v>
      </c>
    </row>
    <row r="57" spans="1:16" ht="12.75">
      <c r="A57">
        <v>115</v>
      </c>
      <c r="C57" s="4">
        <v>4.29</v>
      </c>
      <c r="D57" s="4">
        <f t="shared" si="0"/>
        <v>99.55999999999999</v>
      </c>
      <c r="E57" s="4">
        <f t="shared" si="1"/>
        <v>3290.2799999999997</v>
      </c>
      <c r="O57" t="s">
        <v>123</v>
      </c>
      <c r="P57">
        <v>170</v>
      </c>
    </row>
    <row r="58" spans="1:16" ht="12.75">
      <c r="A58">
        <v>120</v>
      </c>
      <c r="C58" s="4">
        <v>4.45</v>
      </c>
      <c r="D58" s="4">
        <f t="shared" si="0"/>
        <v>99.39999999999999</v>
      </c>
      <c r="E58" s="4">
        <f t="shared" si="1"/>
        <v>3290.12</v>
      </c>
      <c r="O58" t="s">
        <v>125</v>
      </c>
      <c r="P58" s="4">
        <v>11.1</v>
      </c>
    </row>
    <row r="59" spans="1:16" ht="12.75">
      <c r="A59">
        <v>125</v>
      </c>
      <c r="C59" s="4">
        <v>4.3</v>
      </c>
      <c r="D59" s="4">
        <f t="shared" si="0"/>
        <v>99.55</v>
      </c>
      <c r="E59" s="4">
        <f t="shared" si="1"/>
        <v>3290.27</v>
      </c>
      <c r="O59" t="s">
        <v>126</v>
      </c>
      <c r="P59" s="4">
        <f>P60/P58</f>
        <v>0.9189189189189189</v>
      </c>
    </row>
    <row r="60" spans="1:16" ht="12.75">
      <c r="A60">
        <v>130</v>
      </c>
      <c r="C60" s="4">
        <v>4.32</v>
      </c>
      <c r="D60" s="4">
        <f t="shared" si="0"/>
        <v>99.53</v>
      </c>
      <c r="E60" s="4">
        <f t="shared" si="1"/>
        <v>3290.25</v>
      </c>
      <c r="O60" t="s">
        <v>127</v>
      </c>
      <c r="P60" s="4">
        <v>10.2</v>
      </c>
    </row>
    <row r="61" spans="1:16" ht="12.75">
      <c r="A61">
        <v>135</v>
      </c>
      <c r="C61" s="4">
        <v>4.45</v>
      </c>
      <c r="D61" s="4">
        <f t="shared" si="0"/>
        <v>99.39999999999999</v>
      </c>
      <c r="E61" s="4">
        <f t="shared" si="1"/>
        <v>3290.12</v>
      </c>
      <c r="O61" t="s">
        <v>130</v>
      </c>
      <c r="P61" s="4">
        <f>P58/P59</f>
        <v>12.079411764705883</v>
      </c>
    </row>
    <row r="62" spans="1:16" ht="12.75">
      <c r="A62">
        <v>140</v>
      </c>
      <c r="C62" s="4">
        <v>4.29</v>
      </c>
      <c r="D62" s="4">
        <f t="shared" si="0"/>
        <v>99.55999999999999</v>
      </c>
      <c r="E62" s="4">
        <f t="shared" si="1"/>
        <v>3290.2799999999997</v>
      </c>
      <c r="O62" t="s">
        <v>131</v>
      </c>
      <c r="P62" s="55" t="s">
        <v>134</v>
      </c>
    </row>
    <row r="63" spans="1:5" ht="12.75">
      <c r="A63">
        <v>145</v>
      </c>
      <c r="C63" s="4">
        <v>4.37</v>
      </c>
      <c r="D63" s="4">
        <f t="shared" si="0"/>
        <v>99.47999999999999</v>
      </c>
      <c r="E63" s="4">
        <f t="shared" si="1"/>
        <v>3290.2</v>
      </c>
    </row>
    <row r="64" spans="1:5" ht="12.75">
      <c r="A64">
        <v>150</v>
      </c>
      <c r="C64" s="4">
        <v>4.29</v>
      </c>
      <c r="D64" s="4">
        <f t="shared" si="0"/>
        <v>99.55999999999999</v>
      </c>
      <c r="E64" s="4">
        <f t="shared" si="1"/>
        <v>3290.2799999999997</v>
      </c>
    </row>
    <row r="65" spans="1:5" ht="12.75">
      <c r="A65">
        <v>155</v>
      </c>
      <c r="C65" s="4">
        <v>4.21</v>
      </c>
      <c r="D65" s="4">
        <f t="shared" si="0"/>
        <v>99.64</v>
      </c>
      <c r="E65" s="4">
        <f t="shared" si="1"/>
        <v>3290.3599999999997</v>
      </c>
    </row>
    <row r="66" spans="1:5" ht="12.75">
      <c r="A66">
        <v>160</v>
      </c>
      <c r="C66" s="4">
        <v>4.21</v>
      </c>
      <c r="D66" s="4">
        <f t="shared" si="0"/>
        <v>99.64</v>
      </c>
      <c r="E66" s="4">
        <f t="shared" si="1"/>
        <v>3290.3599999999997</v>
      </c>
    </row>
    <row r="67" spans="1:5" ht="12.75">
      <c r="A67">
        <v>165</v>
      </c>
      <c r="C67" s="4">
        <v>4.25</v>
      </c>
      <c r="D67" s="4">
        <f t="shared" si="0"/>
        <v>99.6</v>
      </c>
      <c r="E67" s="4">
        <f t="shared" si="1"/>
        <v>3290.3199999999997</v>
      </c>
    </row>
    <row r="68" spans="1:5" ht="12.75">
      <c r="A68">
        <v>170</v>
      </c>
      <c r="C68" s="4">
        <v>4.35</v>
      </c>
      <c r="D68" s="4">
        <f t="shared" si="0"/>
        <v>99.5</v>
      </c>
      <c r="E68" s="4">
        <f t="shared" si="1"/>
        <v>3290.22</v>
      </c>
    </row>
    <row r="69" spans="1:5" ht="12.75">
      <c r="A69">
        <v>175</v>
      </c>
      <c r="C69" s="4">
        <v>4.16</v>
      </c>
      <c r="D69" s="4">
        <f t="shared" si="0"/>
        <v>99.69</v>
      </c>
      <c r="E69" s="4">
        <f t="shared" si="1"/>
        <v>3290.41</v>
      </c>
    </row>
    <row r="70" spans="1:5" ht="12.75">
      <c r="A70">
        <v>180</v>
      </c>
      <c r="C70" s="4">
        <v>4.09</v>
      </c>
      <c r="D70" s="4">
        <f t="shared" si="0"/>
        <v>99.75999999999999</v>
      </c>
      <c r="E70" s="4">
        <f t="shared" si="1"/>
        <v>3290.4799999999996</v>
      </c>
    </row>
    <row r="71" spans="1:12" ht="12.75">
      <c r="A71">
        <v>185</v>
      </c>
      <c r="C71" s="4">
        <v>4.06</v>
      </c>
      <c r="D71" s="4">
        <f t="shared" si="0"/>
        <v>99.78999999999999</v>
      </c>
      <c r="E71" s="4">
        <f t="shared" si="1"/>
        <v>3290.5099999999998</v>
      </c>
      <c r="K71" s="4">
        <v>99.87</v>
      </c>
      <c r="L71" t="s">
        <v>339</v>
      </c>
    </row>
    <row r="72" spans="1:5" ht="12.75">
      <c r="A72">
        <v>190</v>
      </c>
      <c r="C72" s="4">
        <v>3.79</v>
      </c>
      <c r="D72" s="4">
        <f>+$B$8-C72</f>
        <v>100.05999999999999</v>
      </c>
      <c r="E72" s="4">
        <f>3290.72+D72-100</f>
        <v>3290.7799999999997</v>
      </c>
    </row>
    <row r="73" spans="1:5" ht="12.75">
      <c r="A73">
        <v>195</v>
      </c>
      <c r="C73" s="4">
        <v>3.67</v>
      </c>
      <c r="D73" s="4">
        <f>+$B$8-C73</f>
        <v>100.17999999999999</v>
      </c>
      <c r="E73" s="4">
        <f>3290.72+D73-100</f>
        <v>3290.8999999999996</v>
      </c>
    </row>
    <row r="74" spans="1:12" ht="12.75">
      <c r="A74">
        <v>199</v>
      </c>
      <c r="C74" s="4">
        <v>3.85</v>
      </c>
      <c r="D74" s="4">
        <f>+$B$8-C74</f>
        <v>100</v>
      </c>
      <c r="E74" s="4">
        <f>3290.72+D74-100</f>
        <v>3290.72</v>
      </c>
      <c r="L74" t="s">
        <v>332</v>
      </c>
    </row>
  </sheetData>
  <printOptions/>
  <pageMargins left="0.38" right="0.75" top="0.58" bottom="0.49" header="0.5" footer="0.5"/>
  <pageSetup fitToHeight="1" fitToWidth="1" horizontalDpi="300" verticalDpi="300" orientation="landscape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0.140625" style="0" bestFit="1" customWidth="1"/>
    <col min="11" max="11" width="9.140625" style="4" customWidth="1"/>
  </cols>
  <sheetData>
    <row r="1" spans="7:12" ht="12.75">
      <c r="G1" s="19"/>
      <c r="H1" s="19"/>
      <c r="I1" s="19"/>
      <c r="J1" s="19"/>
      <c r="K1" s="1"/>
      <c r="L1" s="19"/>
    </row>
    <row r="2" spans="1:13" ht="18">
      <c r="A2" s="10" t="s">
        <v>313</v>
      </c>
      <c r="C2" s="9"/>
      <c r="D2" s="9"/>
      <c r="E2" s="9"/>
      <c r="G2" s="19"/>
      <c r="H2" s="19"/>
      <c r="I2" s="19"/>
      <c r="J2" s="19"/>
      <c r="K2" s="1"/>
      <c r="L2" s="19"/>
      <c r="M2" s="4"/>
    </row>
    <row r="3" spans="1:13" ht="15.75">
      <c r="A3" s="39" t="s">
        <v>315</v>
      </c>
      <c r="E3" t="s">
        <v>326</v>
      </c>
      <c r="G3" s="19"/>
      <c r="H3" s="19"/>
      <c r="I3" s="19"/>
      <c r="J3" s="19"/>
      <c r="K3" s="1"/>
      <c r="L3" s="19"/>
      <c r="M3" s="4"/>
    </row>
    <row r="4" spans="1:27" ht="12.75">
      <c r="A4" t="s">
        <v>80</v>
      </c>
      <c r="B4" s="44">
        <v>37082</v>
      </c>
      <c r="E4" s="153" t="s">
        <v>314</v>
      </c>
      <c r="G4" s="19"/>
      <c r="H4" s="19"/>
      <c r="I4" s="19"/>
      <c r="J4" s="19"/>
      <c r="K4" s="1"/>
      <c r="L4" s="19"/>
      <c r="M4" s="4"/>
      <c r="Y4" s="4"/>
      <c r="Z4" s="4"/>
      <c r="AA4" s="4"/>
    </row>
    <row r="5" spans="1:27" ht="12.75">
      <c r="A5" s="26" t="s">
        <v>1</v>
      </c>
      <c r="B5" s="7" t="s">
        <v>2</v>
      </c>
      <c r="C5" s="16"/>
      <c r="D5" s="16"/>
      <c r="E5" s="16"/>
      <c r="F5" s="16"/>
      <c r="G5" s="19"/>
      <c r="H5" s="19"/>
      <c r="I5" s="19"/>
      <c r="J5" s="19"/>
      <c r="K5" s="1"/>
      <c r="L5" s="19"/>
      <c r="M5" s="4"/>
      <c r="Y5" s="4"/>
      <c r="Z5" s="4"/>
      <c r="AA5" s="4"/>
    </row>
    <row r="6" spans="1:27" ht="12.75">
      <c r="A6" s="26" t="s">
        <v>3</v>
      </c>
      <c r="B6" s="17" t="s">
        <v>5</v>
      </c>
      <c r="C6" s="17" t="s">
        <v>6</v>
      </c>
      <c r="D6" s="17" t="s">
        <v>14</v>
      </c>
      <c r="E6" s="53" t="b">
        <v>1</v>
      </c>
      <c r="F6" s="8" t="s">
        <v>7</v>
      </c>
      <c r="G6" s="8" t="s">
        <v>7</v>
      </c>
      <c r="H6" s="8" t="s">
        <v>56</v>
      </c>
      <c r="I6" s="19"/>
      <c r="J6" s="19" t="s">
        <v>56</v>
      </c>
      <c r="K6" s="1" t="s">
        <v>65</v>
      </c>
      <c r="L6" s="19"/>
      <c r="M6" s="4"/>
      <c r="Y6" s="4"/>
      <c r="Z6" s="4"/>
      <c r="AA6" s="4"/>
    </row>
    <row r="7" spans="1:27" ht="12.75">
      <c r="A7" s="28" t="s">
        <v>8</v>
      </c>
      <c r="B7" s="11" t="s">
        <v>10</v>
      </c>
      <c r="C7" s="11" t="s">
        <v>11</v>
      </c>
      <c r="D7" s="40" t="s">
        <v>58</v>
      </c>
      <c r="E7" s="41" t="s">
        <v>14</v>
      </c>
      <c r="F7" s="11" t="s">
        <v>12</v>
      </c>
      <c r="G7" s="41" t="s">
        <v>14</v>
      </c>
      <c r="H7" s="61" t="s">
        <v>127</v>
      </c>
      <c r="I7" s="27" t="s">
        <v>321</v>
      </c>
      <c r="J7" s="27" t="s">
        <v>14</v>
      </c>
      <c r="K7" s="2" t="s">
        <v>14</v>
      </c>
      <c r="L7" s="27" t="s">
        <v>13</v>
      </c>
      <c r="Y7" s="4"/>
      <c r="Z7" s="4"/>
      <c r="AA7" s="4"/>
    </row>
    <row r="8" spans="1:27" ht="12.75">
      <c r="A8">
        <v>0</v>
      </c>
      <c r="B8" s="4">
        <v>103.85</v>
      </c>
      <c r="C8" s="4">
        <v>2.69</v>
      </c>
      <c r="D8" s="4">
        <f>+$B$8-C8</f>
        <v>101.16</v>
      </c>
      <c r="E8" s="4">
        <f>3290.62+D8-100</f>
        <v>3291.7799999999997</v>
      </c>
      <c r="F8" s="4" t="s">
        <v>327</v>
      </c>
      <c r="G8" s="20"/>
      <c r="H8" s="20"/>
      <c r="I8" s="20"/>
      <c r="J8" s="20"/>
      <c r="L8" s="20" t="s">
        <v>316</v>
      </c>
      <c r="M8" s="3"/>
      <c r="Y8" s="4"/>
      <c r="Z8" s="4"/>
      <c r="AA8" s="4"/>
    </row>
    <row r="9" spans="1:27" ht="12.75">
      <c r="A9">
        <v>0</v>
      </c>
      <c r="B9" s="4"/>
      <c r="C9" s="4">
        <v>3.06</v>
      </c>
      <c r="D9" s="4">
        <f aca="true" t="shared" si="0" ref="D9:D62">+$B$8-C9</f>
        <v>100.78999999999999</v>
      </c>
      <c r="E9" s="4">
        <f aca="true" t="shared" si="1" ref="E9:E62">3290.62+D9-100</f>
        <v>3291.41</v>
      </c>
      <c r="F9" s="4"/>
      <c r="G9" s="20"/>
      <c r="H9" s="20"/>
      <c r="I9" s="20"/>
      <c r="J9" s="20"/>
      <c r="K9" s="1"/>
      <c r="L9" s="20" t="s">
        <v>317</v>
      </c>
      <c r="M9" s="3"/>
      <c r="Y9" s="4"/>
      <c r="Z9" s="4"/>
      <c r="AA9" s="4"/>
    </row>
    <row r="10" spans="1:27" ht="12.75">
      <c r="A10">
        <f aca="true" t="shared" si="2" ref="A10:A17">A9+5</f>
        <v>5</v>
      </c>
      <c r="B10" s="4"/>
      <c r="C10" s="4">
        <v>3.29</v>
      </c>
      <c r="D10" s="4">
        <f t="shared" si="0"/>
        <v>100.55999999999999</v>
      </c>
      <c r="E10" s="4">
        <f t="shared" si="1"/>
        <v>3291.18</v>
      </c>
      <c r="F10" s="4"/>
      <c r="G10" s="8"/>
      <c r="H10" s="1"/>
      <c r="I10" s="1"/>
      <c r="J10" s="1"/>
      <c r="K10" s="1"/>
      <c r="L10" s="1"/>
      <c r="M10" s="15"/>
      <c r="N10" s="3"/>
      <c r="Y10" s="4"/>
      <c r="Z10" s="4"/>
      <c r="AA10" s="4"/>
    </row>
    <row r="11" spans="1:27" ht="12.75">
      <c r="A11">
        <f t="shared" si="2"/>
        <v>10</v>
      </c>
      <c r="B11" s="4"/>
      <c r="C11" s="4">
        <v>3.36</v>
      </c>
      <c r="D11" s="4">
        <f t="shared" si="0"/>
        <v>100.49</v>
      </c>
      <c r="E11" s="4">
        <f t="shared" si="1"/>
        <v>3291.1099999999997</v>
      </c>
      <c r="F11" s="4"/>
      <c r="G11" s="1"/>
      <c r="H11" s="1"/>
      <c r="I11" s="1"/>
      <c r="J11" s="1"/>
      <c r="K11" s="1"/>
      <c r="L11" s="1"/>
      <c r="M11" s="15"/>
      <c r="N11" s="3"/>
      <c r="Y11" s="4"/>
      <c r="Z11" s="4"/>
      <c r="AA11" s="4"/>
    </row>
    <row r="12" spans="1:27" ht="12.75">
      <c r="A12">
        <f t="shared" si="2"/>
        <v>15</v>
      </c>
      <c r="B12" s="4"/>
      <c r="C12" s="4">
        <v>3.52</v>
      </c>
      <c r="D12" s="4">
        <f t="shared" si="0"/>
        <v>100.33</v>
      </c>
      <c r="E12" s="4">
        <f t="shared" si="1"/>
        <v>3290.95</v>
      </c>
      <c r="F12" s="4"/>
      <c r="G12" s="20"/>
      <c r="H12" s="20"/>
      <c r="I12" s="20"/>
      <c r="J12" s="20"/>
      <c r="K12" s="1"/>
      <c r="L12" s="20"/>
      <c r="M12" s="3"/>
      <c r="Y12" s="4"/>
      <c r="Z12" s="4"/>
      <c r="AA12" s="4"/>
    </row>
    <row r="13" spans="1:27" ht="12.75">
      <c r="A13">
        <f>A12+5</f>
        <v>20</v>
      </c>
      <c r="B13" s="4"/>
      <c r="C13" s="4">
        <v>3.45</v>
      </c>
      <c r="D13" s="4">
        <f t="shared" si="0"/>
        <v>100.39999999999999</v>
      </c>
      <c r="E13" s="4">
        <f t="shared" si="1"/>
        <v>3291.02</v>
      </c>
      <c r="F13" s="4"/>
      <c r="G13" s="19"/>
      <c r="H13" s="19"/>
      <c r="I13" s="19"/>
      <c r="J13" s="19"/>
      <c r="L13" s="19"/>
      <c r="Y13" s="4"/>
      <c r="Z13" s="4"/>
      <c r="AA13" s="4"/>
    </row>
    <row r="14" spans="1:27" ht="12.75">
      <c r="A14">
        <f t="shared" si="2"/>
        <v>25</v>
      </c>
      <c r="B14" s="4"/>
      <c r="C14" s="4">
        <v>3.16</v>
      </c>
      <c r="D14" s="4">
        <f t="shared" si="0"/>
        <v>100.69</v>
      </c>
      <c r="E14" s="4">
        <f t="shared" si="1"/>
        <v>3291.31</v>
      </c>
      <c r="F14" s="4"/>
      <c r="G14" s="19"/>
      <c r="H14" s="19"/>
      <c r="I14" s="19"/>
      <c r="J14" s="19"/>
      <c r="K14" s="1"/>
      <c r="L14" s="19"/>
      <c r="Y14" s="4"/>
      <c r="Z14" s="4"/>
      <c r="AA14" s="4"/>
    </row>
    <row r="15" spans="1:27" ht="12.75">
      <c r="A15">
        <f t="shared" si="2"/>
        <v>30</v>
      </c>
      <c r="B15" s="4"/>
      <c r="C15" s="4">
        <v>3.13</v>
      </c>
      <c r="D15" s="4">
        <f t="shared" si="0"/>
        <v>100.72</v>
      </c>
      <c r="E15" s="4">
        <f t="shared" si="1"/>
        <v>3291.3399999999997</v>
      </c>
      <c r="F15" s="4"/>
      <c r="G15" s="19"/>
      <c r="H15" s="19"/>
      <c r="I15" s="19"/>
      <c r="J15" s="19"/>
      <c r="K15" s="1"/>
      <c r="L15" s="19"/>
      <c r="Y15" s="4"/>
      <c r="Z15" s="4"/>
      <c r="AA15" s="4"/>
    </row>
    <row r="16" spans="1:27" ht="12.75">
      <c r="A16">
        <f t="shared" si="2"/>
        <v>35</v>
      </c>
      <c r="B16" s="4"/>
      <c r="C16" s="4">
        <v>3.46</v>
      </c>
      <c r="D16" s="4">
        <f t="shared" si="0"/>
        <v>100.39</v>
      </c>
      <c r="E16" s="4">
        <f t="shared" si="1"/>
        <v>3291.0099999999998</v>
      </c>
      <c r="F16" s="4"/>
      <c r="G16" s="19"/>
      <c r="H16" s="19"/>
      <c r="I16" s="19"/>
      <c r="J16" s="19"/>
      <c r="K16" s="1"/>
      <c r="L16" s="19"/>
      <c r="Y16" s="4"/>
      <c r="Z16" s="4"/>
      <c r="AA16" s="4"/>
    </row>
    <row r="17" spans="1:27" ht="12.75">
      <c r="A17">
        <f t="shared" si="2"/>
        <v>40</v>
      </c>
      <c r="B17" s="4"/>
      <c r="C17" s="4">
        <v>4.05</v>
      </c>
      <c r="D17" s="4">
        <f t="shared" si="0"/>
        <v>99.8</v>
      </c>
      <c r="E17" s="4">
        <f t="shared" si="1"/>
        <v>3290.42</v>
      </c>
      <c r="F17" s="4"/>
      <c r="G17" s="19"/>
      <c r="I17" s="19"/>
      <c r="J17" s="19"/>
      <c r="K17" s="1"/>
      <c r="L17" s="19" t="s">
        <v>318</v>
      </c>
      <c r="Y17" s="4"/>
      <c r="Z17" s="4"/>
      <c r="AA17" s="4"/>
    </row>
    <row r="18" spans="1:27" ht="12.75">
      <c r="A18">
        <v>41</v>
      </c>
      <c r="B18" s="4"/>
      <c r="C18" s="4">
        <v>4.12</v>
      </c>
      <c r="D18" s="4">
        <f t="shared" si="0"/>
        <v>99.72999999999999</v>
      </c>
      <c r="E18" s="4">
        <f t="shared" si="1"/>
        <v>3290.35</v>
      </c>
      <c r="F18" s="4"/>
      <c r="G18" s="19"/>
      <c r="I18" s="19" t="s">
        <v>342</v>
      </c>
      <c r="J18" s="4"/>
      <c r="L18" s="19"/>
      <c r="Y18" s="4"/>
      <c r="Z18" s="4"/>
      <c r="AA18" s="4"/>
    </row>
    <row r="19" spans="1:27" ht="12.75">
      <c r="A19">
        <v>42</v>
      </c>
      <c r="B19" s="4"/>
      <c r="C19" s="4">
        <v>4.2</v>
      </c>
      <c r="D19" s="4">
        <f t="shared" si="0"/>
        <v>99.64999999999999</v>
      </c>
      <c r="E19" s="4">
        <f t="shared" si="1"/>
        <v>3290.27</v>
      </c>
      <c r="F19" s="4"/>
      <c r="G19" s="1"/>
      <c r="H19" s="1"/>
      <c r="I19" s="1">
        <f>SUM(H22:H27)-0.8</f>
        <v>7.32400000000004</v>
      </c>
      <c r="J19" s="4"/>
      <c r="K19" s="1"/>
      <c r="L19" s="19"/>
      <c r="Y19" s="4"/>
      <c r="Z19" s="4"/>
      <c r="AA19" s="4"/>
    </row>
    <row r="20" spans="1:27" ht="12.75">
      <c r="A20">
        <v>43</v>
      </c>
      <c r="B20" s="4"/>
      <c r="C20" s="4">
        <v>4.33</v>
      </c>
      <c r="D20" s="4">
        <f t="shared" si="0"/>
        <v>99.52</v>
      </c>
      <c r="E20" s="4">
        <f t="shared" si="1"/>
        <v>3290.14</v>
      </c>
      <c r="F20" s="4"/>
      <c r="G20" s="1"/>
      <c r="H20" s="1"/>
      <c r="I20" s="19" t="s">
        <v>343</v>
      </c>
      <c r="J20" s="4"/>
      <c r="K20" s="1"/>
      <c r="L20" s="19"/>
      <c r="Y20" s="4"/>
      <c r="Z20" s="4"/>
      <c r="AA20" s="4"/>
    </row>
    <row r="21" spans="1:27" ht="12.75">
      <c r="A21">
        <v>44</v>
      </c>
      <c r="B21" s="4"/>
      <c r="C21" s="4">
        <v>4.7</v>
      </c>
      <c r="D21" s="4">
        <f t="shared" si="0"/>
        <v>99.14999999999999</v>
      </c>
      <c r="E21" s="4">
        <f t="shared" si="1"/>
        <v>3289.77</v>
      </c>
      <c r="F21" s="4"/>
      <c r="G21" s="1"/>
      <c r="H21" s="1"/>
      <c r="I21" s="19">
        <v>2.01</v>
      </c>
      <c r="J21" s="4"/>
      <c r="K21" s="1"/>
      <c r="L21" s="19" t="s">
        <v>319</v>
      </c>
      <c r="Y21" s="4"/>
      <c r="Z21" s="4"/>
      <c r="AA21" s="4"/>
    </row>
    <row r="22" spans="1:27" ht="12.75">
      <c r="A22">
        <v>44.1</v>
      </c>
      <c r="B22" s="4"/>
      <c r="C22" s="4"/>
      <c r="D22" s="4">
        <v>98.95</v>
      </c>
      <c r="E22" s="4"/>
      <c r="F22" s="4"/>
      <c r="G22" s="1"/>
      <c r="H22" s="1">
        <v>0</v>
      </c>
      <c r="I22" s="19"/>
      <c r="J22" s="4">
        <v>98.95</v>
      </c>
      <c r="K22" s="1"/>
      <c r="L22" s="19"/>
      <c r="Y22" s="4"/>
      <c r="Z22" s="4"/>
      <c r="AA22" s="4"/>
    </row>
    <row r="23" spans="1:27" ht="12.75">
      <c r="A23">
        <v>44.4</v>
      </c>
      <c r="B23" s="4"/>
      <c r="C23" s="4">
        <v>5.54</v>
      </c>
      <c r="D23" s="4">
        <f t="shared" si="0"/>
        <v>98.30999999999999</v>
      </c>
      <c r="E23" s="4">
        <f t="shared" si="1"/>
        <v>3288.93</v>
      </c>
      <c r="F23" s="4"/>
      <c r="G23" s="1"/>
      <c r="H23" s="1">
        <f>(A23-A22)*($D$22-D23)*0.5</f>
        <v>0.0960000000000013</v>
      </c>
      <c r="I23" s="19"/>
      <c r="J23" s="19">
        <v>98.95</v>
      </c>
      <c r="K23" s="1"/>
      <c r="L23" s="19" t="s">
        <v>322</v>
      </c>
      <c r="Y23" s="4"/>
      <c r="Z23" s="4"/>
      <c r="AA23" s="4"/>
    </row>
    <row r="24" spans="1:27" ht="12.75">
      <c r="A24">
        <v>45</v>
      </c>
      <c r="B24" s="4"/>
      <c r="C24" s="4">
        <v>6.13</v>
      </c>
      <c r="D24" s="4">
        <f t="shared" si="0"/>
        <v>97.72</v>
      </c>
      <c r="E24" s="4">
        <f t="shared" si="1"/>
        <v>3288.3399999999997</v>
      </c>
      <c r="F24" s="4"/>
      <c r="G24" s="1"/>
      <c r="H24" s="1">
        <f>(A24-A23)*($D$22-D24)</f>
        <v>0.7380000000000041</v>
      </c>
      <c r="I24" s="19"/>
      <c r="J24" s="19">
        <v>98.95</v>
      </c>
      <c r="K24" s="1"/>
      <c r="L24" s="19"/>
      <c r="Y24" s="4"/>
      <c r="Z24" s="4"/>
      <c r="AA24" s="4"/>
    </row>
    <row r="25" spans="1:27" ht="12.75">
      <c r="A25">
        <v>46</v>
      </c>
      <c r="B25" s="4"/>
      <c r="C25" s="4">
        <v>6.79</v>
      </c>
      <c r="D25" s="4">
        <f t="shared" si="0"/>
        <v>97.05999999999999</v>
      </c>
      <c r="E25" s="4">
        <f t="shared" si="1"/>
        <v>3287.68</v>
      </c>
      <c r="F25" s="4"/>
      <c r="G25" s="1"/>
      <c r="H25" s="1">
        <f aca="true" t="shared" si="3" ref="H25:H35">(A25-A24)*($D$22-D25)</f>
        <v>1.8900000000000148</v>
      </c>
      <c r="I25" s="19"/>
      <c r="J25" s="19">
        <v>98.95</v>
      </c>
      <c r="K25" s="1"/>
      <c r="L25" s="19"/>
      <c r="Y25" s="4"/>
      <c r="Z25" s="4"/>
      <c r="AA25" s="4"/>
    </row>
    <row r="26" spans="1:27" ht="12.75">
      <c r="A26">
        <v>47</v>
      </c>
      <c r="B26" s="4"/>
      <c r="C26" s="4">
        <v>7.48</v>
      </c>
      <c r="D26" s="4">
        <f t="shared" si="0"/>
        <v>96.36999999999999</v>
      </c>
      <c r="E26" s="4">
        <f t="shared" si="1"/>
        <v>3286.99</v>
      </c>
      <c r="F26" s="4"/>
      <c r="G26" s="1"/>
      <c r="H26" s="1">
        <f t="shared" si="3"/>
        <v>2.5800000000000125</v>
      </c>
      <c r="I26" s="19">
        <v>96.97</v>
      </c>
      <c r="J26" s="19">
        <v>98.95</v>
      </c>
      <c r="K26" s="1"/>
      <c r="L26" s="19" t="s">
        <v>320</v>
      </c>
      <c r="Y26" s="4"/>
      <c r="Z26" s="4"/>
      <c r="AA26" s="4"/>
    </row>
    <row r="27" spans="1:27" ht="12.75">
      <c r="A27">
        <v>48</v>
      </c>
      <c r="B27" s="4"/>
      <c r="C27" s="4">
        <v>7.72</v>
      </c>
      <c r="D27" s="4">
        <f t="shared" si="0"/>
        <v>96.13</v>
      </c>
      <c r="E27" s="4">
        <f t="shared" si="1"/>
        <v>3286.75</v>
      </c>
      <c r="F27" s="4"/>
      <c r="G27" s="1"/>
      <c r="H27" s="1">
        <f t="shared" si="3"/>
        <v>2.8200000000000074</v>
      </c>
      <c r="I27" s="1"/>
      <c r="J27" s="19">
        <v>98.95</v>
      </c>
      <c r="K27" s="1"/>
      <c r="L27" s="209" t="s">
        <v>341</v>
      </c>
      <c r="Y27" s="4"/>
      <c r="Z27" s="4"/>
      <c r="AA27" s="4"/>
    </row>
    <row r="28" spans="1:27" ht="12.75">
      <c r="A28">
        <v>48.5</v>
      </c>
      <c r="B28" s="4"/>
      <c r="C28" s="4">
        <v>7.8</v>
      </c>
      <c r="D28" s="4">
        <f t="shared" si="0"/>
        <v>96.05</v>
      </c>
      <c r="E28" s="4">
        <f t="shared" si="1"/>
        <v>3286.67</v>
      </c>
      <c r="F28" s="4"/>
      <c r="G28" s="1"/>
      <c r="H28" s="1">
        <f t="shared" si="3"/>
        <v>1.4500000000000028</v>
      </c>
      <c r="I28" s="1"/>
      <c r="J28" s="19">
        <v>98.95</v>
      </c>
      <c r="K28" s="1"/>
      <c r="L28" s="19" t="s">
        <v>219</v>
      </c>
      <c r="Y28" s="4"/>
      <c r="Z28" s="4"/>
      <c r="AA28" s="4"/>
    </row>
    <row r="29" spans="1:27" ht="12.75">
      <c r="A29">
        <v>49</v>
      </c>
      <c r="B29" s="4"/>
      <c r="C29" s="4">
        <v>7.7</v>
      </c>
      <c r="D29" s="4">
        <f t="shared" si="0"/>
        <v>96.14999999999999</v>
      </c>
      <c r="E29" s="4">
        <f t="shared" si="1"/>
        <v>3286.77</v>
      </c>
      <c r="F29" s="4"/>
      <c r="G29" s="1"/>
      <c r="H29" s="1">
        <f t="shared" si="3"/>
        <v>1.4000000000000057</v>
      </c>
      <c r="I29" s="1"/>
      <c r="J29" s="19">
        <v>98.95</v>
      </c>
      <c r="K29" s="1"/>
      <c r="L29" s="19"/>
      <c r="Y29" s="4"/>
      <c r="Z29" s="4"/>
      <c r="AA29" s="4"/>
    </row>
    <row r="30" spans="1:27" ht="12.75">
      <c r="A30">
        <v>50</v>
      </c>
      <c r="B30" s="4"/>
      <c r="C30" s="4">
        <v>7.43</v>
      </c>
      <c r="D30" s="4">
        <f t="shared" si="0"/>
        <v>96.41999999999999</v>
      </c>
      <c r="E30" s="4">
        <f t="shared" si="1"/>
        <v>3287.04</v>
      </c>
      <c r="F30" s="4"/>
      <c r="G30" s="1"/>
      <c r="H30" s="1">
        <f t="shared" si="3"/>
        <v>2.5300000000000153</v>
      </c>
      <c r="I30" s="1"/>
      <c r="J30" s="19">
        <v>98.95</v>
      </c>
      <c r="K30" s="1"/>
      <c r="L30" s="19"/>
      <c r="Y30" s="4"/>
      <c r="Z30" s="4"/>
      <c r="AA30" s="4"/>
    </row>
    <row r="31" spans="1:27" ht="12.75">
      <c r="A31">
        <v>51</v>
      </c>
      <c r="B31" s="4"/>
      <c r="C31" s="4">
        <v>6.95</v>
      </c>
      <c r="D31" s="4">
        <f t="shared" si="0"/>
        <v>96.89999999999999</v>
      </c>
      <c r="E31" s="4">
        <f t="shared" si="1"/>
        <v>3287.52</v>
      </c>
      <c r="F31" s="4"/>
      <c r="G31" s="1"/>
      <c r="H31" s="1">
        <f t="shared" si="3"/>
        <v>2.0500000000000114</v>
      </c>
      <c r="I31" s="1"/>
      <c r="J31" s="19">
        <v>98.95</v>
      </c>
      <c r="K31" s="1"/>
      <c r="L31" s="19"/>
      <c r="Y31" s="4"/>
      <c r="Z31" s="4"/>
      <c r="AA31" s="4"/>
    </row>
    <row r="32" spans="1:27" ht="12.75">
      <c r="A32">
        <v>51.5</v>
      </c>
      <c r="B32" s="4"/>
      <c r="C32" s="4">
        <v>6.75</v>
      </c>
      <c r="D32" s="4">
        <f t="shared" si="0"/>
        <v>97.1</v>
      </c>
      <c r="E32" s="4">
        <f t="shared" si="1"/>
        <v>3287.72</v>
      </c>
      <c r="F32" s="4"/>
      <c r="G32" s="1"/>
      <c r="H32" s="1">
        <f t="shared" si="3"/>
        <v>0.9250000000000043</v>
      </c>
      <c r="I32" s="1"/>
      <c r="J32" s="19">
        <v>98.95</v>
      </c>
      <c r="K32" s="1"/>
      <c r="L32" s="19"/>
      <c r="Y32" s="4"/>
      <c r="Z32" s="4"/>
      <c r="AA32" s="4"/>
    </row>
    <row r="33" spans="1:27" ht="12.75">
      <c r="A33">
        <v>52</v>
      </c>
      <c r="B33" s="4"/>
      <c r="C33" s="4">
        <v>6.41</v>
      </c>
      <c r="D33" s="4">
        <f t="shared" si="0"/>
        <v>97.44</v>
      </c>
      <c r="E33" s="4">
        <f t="shared" si="1"/>
        <v>3288.06</v>
      </c>
      <c r="F33" s="4"/>
      <c r="G33" s="19"/>
      <c r="H33" s="1">
        <f t="shared" si="3"/>
        <v>0.7550000000000026</v>
      </c>
      <c r="I33" s="19"/>
      <c r="J33" s="19">
        <v>98.95</v>
      </c>
      <c r="K33" s="1"/>
      <c r="L33" s="19"/>
      <c r="W33" s="6"/>
      <c r="Z33" s="4"/>
      <c r="AA33" s="4"/>
    </row>
    <row r="34" spans="1:27" ht="12.75">
      <c r="A34">
        <v>53</v>
      </c>
      <c r="B34" s="4"/>
      <c r="C34" s="4">
        <v>5.87</v>
      </c>
      <c r="D34" s="4">
        <f t="shared" si="0"/>
        <v>97.97999999999999</v>
      </c>
      <c r="E34" s="4">
        <f t="shared" si="1"/>
        <v>3288.6</v>
      </c>
      <c r="F34" s="4"/>
      <c r="G34" s="19"/>
      <c r="H34" s="1">
        <f t="shared" si="3"/>
        <v>0.9700000000000131</v>
      </c>
      <c r="I34" s="19"/>
      <c r="J34" s="19">
        <v>98.95</v>
      </c>
      <c r="K34" s="1"/>
      <c r="W34" s="6"/>
      <c r="Z34" s="4"/>
      <c r="AA34" s="4"/>
    </row>
    <row r="35" spans="1:27" ht="12.75">
      <c r="A35">
        <v>54</v>
      </c>
      <c r="B35" s="4"/>
      <c r="C35" s="4">
        <v>5.6</v>
      </c>
      <c r="D35" s="4">
        <f t="shared" si="0"/>
        <v>98.25</v>
      </c>
      <c r="E35" s="4">
        <f t="shared" si="1"/>
        <v>3288.87</v>
      </c>
      <c r="F35" s="4"/>
      <c r="G35" s="19"/>
      <c r="H35" s="1">
        <f t="shared" si="3"/>
        <v>0.7000000000000028</v>
      </c>
      <c r="I35" s="19"/>
      <c r="J35" s="19">
        <v>98.95</v>
      </c>
      <c r="K35" s="1"/>
      <c r="L35" s="19"/>
      <c r="W35" s="6"/>
      <c r="Z35" s="4"/>
      <c r="AA35" s="4"/>
    </row>
    <row r="36" spans="1:27" ht="12.75">
      <c r="A36">
        <v>55</v>
      </c>
      <c r="B36" s="4"/>
      <c r="C36" s="4">
        <v>4.9</v>
      </c>
      <c r="D36" s="4">
        <f t="shared" si="0"/>
        <v>98.94999999999999</v>
      </c>
      <c r="E36" s="4">
        <f t="shared" si="1"/>
        <v>3289.5699999999997</v>
      </c>
      <c r="F36" s="4"/>
      <c r="G36" s="19"/>
      <c r="H36" s="1">
        <f>(A36-A35)*($D$22-D35)*0.5</f>
        <v>0.3500000000000014</v>
      </c>
      <c r="I36" s="19"/>
      <c r="J36" s="19">
        <v>98.95</v>
      </c>
      <c r="K36" s="1"/>
      <c r="L36" s="19" t="s">
        <v>323</v>
      </c>
      <c r="W36" s="6"/>
      <c r="Y36" s="4"/>
      <c r="Z36" s="4"/>
      <c r="AA36" s="4"/>
    </row>
    <row r="37" spans="1:27" ht="12.75">
      <c r="A37">
        <v>56</v>
      </c>
      <c r="B37" s="4"/>
      <c r="C37" s="4">
        <v>4.61</v>
      </c>
      <c r="D37" s="4">
        <f t="shared" si="0"/>
        <v>99.24</v>
      </c>
      <c r="E37" s="4">
        <f t="shared" si="1"/>
        <v>3289.8599999999997</v>
      </c>
      <c r="F37" s="4"/>
      <c r="G37" s="19"/>
      <c r="H37" s="19"/>
      <c r="I37" s="19"/>
      <c r="J37" s="19"/>
      <c r="K37" s="1"/>
      <c r="L37" s="19"/>
      <c r="W37" s="6"/>
      <c r="Z37" s="4"/>
      <c r="AA37" s="4"/>
    </row>
    <row r="38" spans="1:27" ht="12.75">
      <c r="A38">
        <v>57</v>
      </c>
      <c r="B38" s="4"/>
      <c r="C38" s="4">
        <v>4.63</v>
      </c>
      <c r="D38" s="4">
        <f t="shared" si="0"/>
        <v>99.22</v>
      </c>
      <c r="E38" s="4">
        <f t="shared" si="1"/>
        <v>3289.8399999999997</v>
      </c>
      <c r="F38" s="4"/>
      <c r="G38" s="19"/>
      <c r="H38" s="19"/>
      <c r="I38" s="19"/>
      <c r="J38" s="19"/>
      <c r="K38" s="1"/>
      <c r="L38" s="19"/>
      <c r="W38" s="6"/>
      <c r="Z38" s="4"/>
      <c r="AA38" s="4"/>
    </row>
    <row r="39" spans="1:27" ht="12.75">
      <c r="A39">
        <v>58</v>
      </c>
      <c r="B39" s="4"/>
      <c r="C39" s="4">
        <v>4.55</v>
      </c>
      <c r="D39" s="4">
        <f t="shared" si="0"/>
        <v>99.3</v>
      </c>
      <c r="E39" s="4">
        <f t="shared" si="1"/>
        <v>3289.92</v>
      </c>
      <c r="F39" s="4"/>
      <c r="G39" s="19"/>
      <c r="H39" s="19"/>
      <c r="I39" s="19"/>
      <c r="J39" s="19"/>
      <c r="K39" s="1"/>
      <c r="L39" s="19"/>
      <c r="W39" s="6"/>
      <c r="Z39" s="4"/>
      <c r="AA39" s="4"/>
    </row>
    <row r="40" spans="1:27" ht="12.75">
      <c r="A40">
        <v>59</v>
      </c>
      <c r="B40" s="4"/>
      <c r="C40" s="4">
        <v>4.49</v>
      </c>
      <c r="D40" s="4">
        <f t="shared" si="0"/>
        <v>99.36</v>
      </c>
      <c r="E40" s="4">
        <f t="shared" si="1"/>
        <v>3289.98</v>
      </c>
      <c r="F40" s="4"/>
      <c r="G40" s="19"/>
      <c r="H40" s="19"/>
      <c r="I40" s="19"/>
      <c r="J40" s="19"/>
      <c r="K40" s="1"/>
      <c r="L40" s="19"/>
      <c r="W40" s="6"/>
      <c r="Z40" s="4"/>
      <c r="AA40" s="4"/>
    </row>
    <row r="41" spans="1:28" ht="12.75">
      <c r="A41">
        <v>60</v>
      </c>
      <c r="B41" s="4"/>
      <c r="C41" s="4">
        <v>4.34</v>
      </c>
      <c r="D41" s="4">
        <f t="shared" si="0"/>
        <v>99.50999999999999</v>
      </c>
      <c r="E41" s="4">
        <f t="shared" si="1"/>
        <v>3290.13</v>
      </c>
      <c r="F41" s="4"/>
      <c r="G41" s="19"/>
      <c r="H41" s="1"/>
      <c r="I41" s="19"/>
      <c r="J41" s="19"/>
      <c r="K41" s="1"/>
      <c r="L41" s="19"/>
      <c r="W41" s="6"/>
      <c r="Z41" s="4"/>
      <c r="AA41" s="4"/>
      <c r="AB41" s="4"/>
    </row>
    <row r="42" spans="1:23" ht="12.75">
      <c r="A42">
        <v>65</v>
      </c>
      <c r="C42" s="4">
        <v>4.18</v>
      </c>
      <c r="D42" s="4">
        <f t="shared" si="0"/>
        <v>99.66999999999999</v>
      </c>
      <c r="E42" s="4">
        <f t="shared" si="1"/>
        <v>3290.29</v>
      </c>
      <c r="F42" s="4"/>
      <c r="G42" s="19"/>
      <c r="H42" s="19"/>
      <c r="I42" s="19"/>
      <c r="J42" s="19"/>
      <c r="K42" s="1"/>
      <c r="L42" s="19"/>
      <c r="W42" s="6"/>
    </row>
    <row r="43" spans="1:27" ht="12.75">
      <c r="A43">
        <v>70</v>
      </c>
      <c r="C43" s="4">
        <v>3.95</v>
      </c>
      <c r="D43" s="4">
        <f t="shared" si="0"/>
        <v>99.89999999999999</v>
      </c>
      <c r="E43" s="4">
        <f t="shared" si="1"/>
        <v>3290.52</v>
      </c>
      <c r="F43" s="4"/>
      <c r="G43" s="19"/>
      <c r="H43" s="19"/>
      <c r="I43" s="19"/>
      <c r="J43" s="19"/>
      <c r="K43" s="1"/>
      <c r="L43" s="19"/>
      <c r="W43" s="6"/>
      <c r="Z43" s="4"/>
      <c r="AA43" s="4"/>
    </row>
    <row r="44" spans="1:12" ht="12.75">
      <c r="A44">
        <v>75</v>
      </c>
      <c r="C44" s="4">
        <v>3.75</v>
      </c>
      <c r="D44" s="4">
        <f t="shared" si="0"/>
        <v>100.1</v>
      </c>
      <c r="E44" s="4">
        <f t="shared" si="1"/>
        <v>3290.72</v>
      </c>
      <c r="F44" s="4"/>
      <c r="G44" s="19"/>
      <c r="H44" s="19"/>
      <c r="I44" s="19"/>
      <c r="J44" s="19"/>
      <c r="K44" s="1"/>
      <c r="L44" s="19"/>
    </row>
    <row r="45" spans="1:12" ht="12.75">
      <c r="A45">
        <v>80</v>
      </c>
      <c r="C45" s="4">
        <v>3.78</v>
      </c>
      <c r="D45" s="4">
        <f t="shared" si="0"/>
        <v>100.07</v>
      </c>
      <c r="E45" s="4">
        <f t="shared" si="1"/>
        <v>3290.69</v>
      </c>
      <c r="G45" s="19"/>
      <c r="H45" s="19"/>
      <c r="I45" s="19"/>
      <c r="J45" s="19"/>
      <c r="K45" s="1"/>
      <c r="L45" s="19"/>
    </row>
    <row r="46" spans="1:12" ht="12.75">
      <c r="A46">
        <v>85</v>
      </c>
      <c r="C46" s="4">
        <v>3.87</v>
      </c>
      <c r="D46" s="4">
        <f t="shared" si="0"/>
        <v>99.97999999999999</v>
      </c>
      <c r="E46" s="4">
        <f t="shared" si="1"/>
        <v>3290.6</v>
      </c>
      <c r="F46" s="4"/>
      <c r="G46" s="19"/>
      <c r="H46" s="19"/>
      <c r="I46" s="19"/>
      <c r="J46" s="19"/>
      <c r="K46" s="1"/>
      <c r="L46" s="19"/>
    </row>
    <row r="47" spans="1:12" ht="12.75">
      <c r="A47">
        <v>90</v>
      </c>
      <c r="C47" s="4">
        <v>3.81</v>
      </c>
      <c r="D47" s="4">
        <f t="shared" si="0"/>
        <v>100.03999999999999</v>
      </c>
      <c r="E47" s="4">
        <f t="shared" si="1"/>
        <v>3290.66</v>
      </c>
      <c r="F47" s="4"/>
      <c r="G47" s="19"/>
      <c r="H47" s="19"/>
      <c r="I47" s="19"/>
      <c r="J47" s="19"/>
      <c r="K47" s="1"/>
      <c r="L47" s="19"/>
    </row>
    <row r="48" spans="1:12" ht="12.75">
      <c r="A48">
        <v>95</v>
      </c>
      <c r="C48" s="4">
        <v>3.77</v>
      </c>
      <c r="D48" s="4">
        <f t="shared" si="0"/>
        <v>100.08</v>
      </c>
      <c r="E48" s="4">
        <f t="shared" si="1"/>
        <v>3290.7</v>
      </c>
      <c r="F48" s="4"/>
      <c r="G48" s="19"/>
      <c r="H48" s="19"/>
      <c r="I48" s="19"/>
      <c r="J48" s="19"/>
      <c r="K48" s="1"/>
      <c r="L48" s="19"/>
    </row>
    <row r="49" spans="1:12" ht="12.75">
      <c r="A49">
        <v>100</v>
      </c>
      <c r="C49" s="4">
        <v>3.86</v>
      </c>
      <c r="D49" s="4">
        <f t="shared" si="0"/>
        <v>99.99</v>
      </c>
      <c r="E49" s="4">
        <f t="shared" si="1"/>
        <v>3290.6099999999997</v>
      </c>
      <c r="F49" s="4"/>
      <c r="G49" s="19"/>
      <c r="H49" s="19"/>
      <c r="I49" s="19"/>
      <c r="J49" s="19"/>
      <c r="K49" s="1"/>
      <c r="L49" s="19"/>
    </row>
    <row r="50" spans="1:12" ht="12.75">
      <c r="A50">
        <v>105</v>
      </c>
      <c r="C50" s="4">
        <v>3.99</v>
      </c>
      <c r="D50" s="4">
        <f t="shared" si="0"/>
        <v>99.86</v>
      </c>
      <c r="E50" s="4">
        <f t="shared" si="1"/>
        <v>3290.48</v>
      </c>
      <c r="F50" s="4"/>
      <c r="G50" s="19"/>
      <c r="H50" s="19"/>
      <c r="I50" s="19"/>
      <c r="J50" s="19"/>
      <c r="K50" s="1"/>
      <c r="L50" s="19"/>
    </row>
    <row r="51" spans="1:12" ht="12.75">
      <c r="A51">
        <v>110</v>
      </c>
      <c r="C51" s="4">
        <v>4.28</v>
      </c>
      <c r="D51" s="4">
        <f t="shared" si="0"/>
        <v>99.57</v>
      </c>
      <c r="E51" s="4">
        <f t="shared" si="1"/>
        <v>3290.19</v>
      </c>
      <c r="F51" s="4"/>
      <c r="G51" s="19"/>
      <c r="H51" s="19"/>
      <c r="I51" s="19"/>
      <c r="J51" s="19"/>
      <c r="K51" s="1"/>
      <c r="L51" s="19"/>
    </row>
    <row r="52" spans="1:12" ht="12.75">
      <c r="A52">
        <v>115</v>
      </c>
      <c r="B52" s="4"/>
      <c r="C52" s="4">
        <v>4.31</v>
      </c>
      <c r="D52" s="4">
        <f t="shared" si="0"/>
        <v>99.53999999999999</v>
      </c>
      <c r="E52" s="4">
        <f t="shared" si="1"/>
        <v>3290.16</v>
      </c>
      <c r="F52" s="4"/>
      <c r="G52" s="19"/>
      <c r="H52" s="19"/>
      <c r="I52" s="19"/>
      <c r="J52" s="19"/>
      <c r="K52" s="1"/>
      <c r="L52" s="19"/>
    </row>
    <row r="53" spans="1:12" ht="12.75">
      <c r="A53">
        <v>120</v>
      </c>
      <c r="C53" s="4">
        <v>4.21</v>
      </c>
      <c r="D53" s="4">
        <f t="shared" si="0"/>
        <v>99.64</v>
      </c>
      <c r="E53" s="4">
        <f t="shared" si="1"/>
        <v>3290.2599999999998</v>
      </c>
      <c r="G53" s="19"/>
      <c r="H53" s="19"/>
      <c r="I53" s="19"/>
      <c r="J53" s="19"/>
      <c r="K53" s="1"/>
      <c r="L53" s="19"/>
    </row>
    <row r="54" spans="1:5" ht="12.75">
      <c r="A54">
        <v>125</v>
      </c>
      <c r="C54" s="4">
        <v>4.21</v>
      </c>
      <c r="D54" s="4">
        <f t="shared" si="0"/>
        <v>99.64</v>
      </c>
      <c r="E54" s="4">
        <f t="shared" si="1"/>
        <v>3290.2599999999998</v>
      </c>
    </row>
    <row r="55" spans="1:5" ht="12.75">
      <c r="A55">
        <v>130</v>
      </c>
      <c r="C55" s="4">
        <v>4.12</v>
      </c>
      <c r="D55" s="4">
        <f t="shared" si="0"/>
        <v>99.72999999999999</v>
      </c>
      <c r="E55" s="4">
        <f t="shared" si="1"/>
        <v>3290.35</v>
      </c>
    </row>
    <row r="56" spans="1:5" ht="12.75">
      <c r="A56">
        <v>135</v>
      </c>
      <c r="C56" s="4">
        <v>4.15</v>
      </c>
      <c r="D56" s="4">
        <f t="shared" si="0"/>
        <v>99.69999999999999</v>
      </c>
      <c r="E56" s="4">
        <f t="shared" si="1"/>
        <v>3290.3199999999997</v>
      </c>
    </row>
    <row r="57" spans="1:5" ht="12.75">
      <c r="A57">
        <v>140</v>
      </c>
      <c r="C57" s="4">
        <v>4.05</v>
      </c>
      <c r="D57" s="4">
        <f t="shared" si="0"/>
        <v>99.8</v>
      </c>
      <c r="E57" s="4">
        <f t="shared" si="1"/>
        <v>3290.42</v>
      </c>
    </row>
    <row r="58" spans="1:5" ht="12.75">
      <c r="A58">
        <v>145</v>
      </c>
      <c r="C58" s="4">
        <v>4.13</v>
      </c>
      <c r="D58" s="4">
        <f t="shared" si="0"/>
        <v>99.72</v>
      </c>
      <c r="E58" s="4">
        <f t="shared" si="1"/>
        <v>3290.3399999999997</v>
      </c>
    </row>
    <row r="59" spans="1:5" ht="12.75">
      <c r="A59">
        <v>150</v>
      </c>
      <c r="C59" s="4">
        <v>3.96</v>
      </c>
      <c r="D59" s="4">
        <f t="shared" si="0"/>
        <v>99.89</v>
      </c>
      <c r="E59" s="4">
        <f t="shared" si="1"/>
        <v>3290.5099999999998</v>
      </c>
    </row>
    <row r="60" spans="1:5" ht="12.75">
      <c r="A60">
        <v>155</v>
      </c>
      <c r="C60" s="4">
        <v>3.66</v>
      </c>
      <c r="D60" s="4">
        <f t="shared" si="0"/>
        <v>100.19</v>
      </c>
      <c r="E60" s="4">
        <f t="shared" si="1"/>
        <v>3290.81</v>
      </c>
    </row>
    <row r="61" spans="1:5" ht="12.75">
      <c r="A61">
        <v>160</v>
      </c>
      <c r="C61" s="4">
        <v>3.82</v>
      </c>
      <c r="D61" s="4">
        <f t="shared" si="0"/>
        <v>100.03</v>
      </c>
      <c r="E61" s="4">
        <f t="shared" si="1"/>
        <v>3290.65</v>
      </c>
    </row>
    <row r="62" spans="1:12" ht="12.75">
      <c r="A62">
        <v>160.5</v>
      </c>
      <c r="C62" s="4">
        <v>3.84</v>
      </c>
      <c r="D62" s="4">
        <f t="shared" si="0"/>
        <v>100.00999999999999</v>
      </c>
      <c r="E62" s="4">
        <f t="shared" si="1"/>
        <v>3290.63</v>
      </c>
      <c r="L62" t="s">
        <v>333</v>
      </c>
    </row>
    <row r="63" spans="8:9" ht="12.75">
      <c r="H63" s="4" t="s">
        <v>15</v>
      </c>
      <c r="I63" s="4">
        <v>48.5</v>
      </c>
    </row>
    <row r="64" spans="8:9" ht="12.75">
      <c r="H64" s="4" t="s">
        <v>66</v>
      </c>
      <c r="I64" s="4"/>
    </row>
    <row r="65" spans="8:9" ht="12.75">
      <c r="H65" s="4" t="s">
        <v>67</v>
      </c>
      <c r="I65" s="4">
        <f>D22-D28</f>
        <v>2.9000000000000057</v>
      </c>
    </row>
    <row r="66" spans="8:9" ht="12.75">
      <c r="H66" t="s">
        <v>68</v>
      </c>
      <c r="I66" s="4"/>
    </row>
    <row r="67" ht="12.75">
      <c r="H67" t="s">
        <v>123</v>
      </c>
    </row>
    <row r="68" spans="8:9" ht="12.75">
      <c r="H68" t="s">
        <v>125</v>
      </c>
      <c r="I68" s="4">
        <f>A36-A22</f>
        <v>10.899999999999999</v>
      </c>
    </row>
    <row r="69" spans="8:9" ht="12.75">
      <c r="H69" t="s">
        <v>126</v>
      </c>
      <c r="I69" s="4">
        <f>I70/I68</f>
        <v>1.766422018348633</v>
      </c>
    </row>
    <row r="70" spans="8:9" ht="12.75">
      <c r="H70" t="s">
        <v>127</v>
      </c>
      <c r="I70" s="4">
        <f>SUM(H23:H36)</f>
        <v>19.254000000000097</v>
      </c>
    </row>
    <row r="71" spans="8:9" ht="12.75">
      <c r="H71" t="s">
        <v>130</v>
      </c>
      <c r="I71" s="4">
        <f>I68/I69</f>
        <v>6.170665835670477</v>
      </c>
    </row>
    <row r="72" spans="8:9" ht="12.75">
      <c r="H72" t="s">
        <v>131</v>
      </c>
      <c r="I72" s="4" t="s">
        <v>132</v>
      </c>
    </row>
  </sheetData>
  <printOptions/>
  <pageMargins left="0.57" right="0.5" top="0.53" bottom="0.53" header="0.5" footer="0.5"/>
  <pageSetup fitToHeight="1" fitToWidth="1" horizontalDpi="300" verticalDpi="3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Vance R. McGowan</cp:lastModifiedBy>
  <cp:lastPrinted>2001-07-26T18:17:59Z</cp:lastPrinted>
  <dcterms:created xsi:type="dcterms:W3CDTF">2000-06-20T23:43:36Z</dcterms:created>
  <dcterms:modified xsi:type="dcterms:W3CDTF">2001-10-12T20:28:35Z</dcterms:modified>
  <cp:category/>
  <cp:version/>
  <cp:contentType/>
  <cp:contentStatus/>
</cp:coreProperties>
</file>